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3.xml" ContentType="application/vnd.openxmlformats-officedocument.spreadsheetml.comments+xml"/>
  <Override PartName="/xl/charts/chart18.xml" ContentType="application/vnd.openxmlformats-officedocument.drawingml.chart+xml"/>
  <Override PartName="/xl/drawings/drawing11.xml" ContentType="application/vnd.openxmlformats-officedocument.drawingml.chartshapes+xml"/>
  <Override PartName="/xl/charts/chart1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codeName="ThisWorkbook" defaultThemeVersion="124226"/>
  <mc:AlternateContent xmlns:mc="http://schemas.openxmlformats.org/markup-compatibility/2006">
    <mc:Choice Requires="x15">
      <x15ac:absPath xmlns:x15ac="http://schemas.microsoft.com/office/spreadsheetml/2010/11/ac" url="C:\Users\gschu\Desktop\"/>
    </mc:Choice>
  </mc:AlternateContent>
  <xr:revisionPtr revIDLastSave="0" documentId="8_{BA8C2895-93DF-4E56-9474-B2069752CDE5}" xr6:coauthVersionLast="40" xr6:coauthVersionMax="40" xr10:uidLastSave="{00000000-0000-0000-0000-000000000000}"/>
  <bookViews>
    <workbookView xWindow="0" yWindow="0" windowWidth="20490" windowHeight="7485" xr2:uid="{00000000-000D-0000-FFFF-FFFF00000000}"/>
  </bookViews>
  <sheets>
    <sheet name="Current version" sheetId="43" r:id="rId1"/>
    <sheet name="Colony" sheetId="2" r:id="rId2"/>
    <sheet name="Necessary mite reduction" sheetId="21" r:id="rId3"/>
    <sheet name="Notes for this version" sheetId="36" r:id="rId4"/>
    <sheet name="Relative rates of increase" sheetId="38" r:id="rId5"/>
    <sheet name="Backup version" sheetId="45" r:id="rId6"/>
    <sheet name="Colony data" sheetId="44" r:id="rId7"/>
  </sheets>
  <definedNames>
    <definedName name="abc" localSheetId="5">#REF!</definedName>
    <definedName name="abc" localSheetId="0">#REF!</definedName>
    <definedName name="abc">#REF!</definedName>
    <definedName name="abs" localSheetId="5">#REF!</definedName>
    <definedName name="abs" localSheetId="0">#REF!</definedName>
    <definedName name="abs">#REF!</definedName>
    <definedName name="x" localSheetId="5">#REF!</definedName>
    <definedName name="x" localSheetId="0">#REF!</definedName>
    <definedName name="x">#REF!</definedName>
    <definedName name="xxx" localSheetId="5">#REF!</definedName>
    <definedName name="xxx" localSheetId="0">#REF!</definedName>
    <definedName name="xxx">#REF!</definedName>
    <definedName name="xxx1" localSheetId="5">#REF!</definedName>
    <definedName name="xxx1" localSheetId="0">#REF!</definedName>
    <definedName name="xxx1">#REF!</definedName>
    <definedName name="z" localSheetId="5">#REF!</definedName>
    <definedName name="z" localSheetId="0">#REF!</definedName>
    <definedName name="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 i="2" l="1"/>
  <c r="AX106" i="45" l="1"/>
  <c r="AV106" i="45"/>
  <c r="AY106" i="45" s="1"/>
  <c r="AX105" i="45"/>
  <c r="AV105" i="45"/>
  <c r="AY105" i="45" s="1"/>
  <c r="AX104" i="45"/>
  <c r="AV104" i="45"/>
  <c r="AY104" i="45" s="1"/>
  <c r="AX103" i="45"/>
  <c r="AV103" i="45"/>
  <c r="AY103" i="45" s="1"/>
  <c r="AX102" i="45"/>
  <c r="AV102" i="45"/>
  <c r="AY102" i="45" s="1"/>
  <c r="AX101" i="45"/>
  <c r="AV101" i="45"/>
  <c r="AY101" i="45" s="1"/>
  <c r="AX100" i="45"/>
  <c r="AV100" i="45"/>
  <c r="AY100" i="45" s="1"/>
  <c r="AX99" i="45"/>
  <c r="AV99" i="45"/>
  <c r="AY99" i="45" s="1"/>
  <c r="AX98" i="45"/>
  <c r="AV98" i="45"/>
  <c r="AY98" i="45" s="1"/>
  <c r="AX97" i="45"/>
  <c r="AV97" i="45"/>
  <c r="AY97" i="45" s="1"/>
  <c r="AX96" i="45"/>
  <c r="AV96" i="45"/>
  <c r="AY96" i="45" s="1"/>
  <c r="AX95" i="45"/>
  <c r="AV95" i="45"/>
  <c r="AY95" i="45" s="1"/>
  <c r="AX94" i="45"/>
  <c r="AV94" i="45"/>
  <c r="AY94" i="45" s="1"/>
  <c r="AQ94" i="45"/>
  <c r="AX93" i="45"/>
  <c r="AV93" i="45"/>
  <c r="AY93" i="45" s="1"/>
  <c r="AQ93" i="45"/>
  <c r="AX92" i="45"/>
  <c r="AV92" i="45"/>
  <c r="AY92" i="45" s="1"/>
  <c r="AQ92" i="45"/>
  <c r="AX91" i="45"/>
  <c r="AV91" i="45"/>
  <c r="AY91" i="45" s="1"/>
  <c r="AQ91" i="45"/>
  <c r="AX90" i="45"/>
  <c r="AV90" i="45"/>
  <c r="AY90" i="45" s="1"/>
  <c r="AX89" i="45"/>
  <c r="AV89" i="45"/>
  <c r="AY89" i="45" s="1"/>
  <c r="AY88" i="45"/>
  <c r="AX88" i="45"/>
  <c r="AW87" i="45"/>
  <c r="AO78" i="45"/>
  <c r="AL79" i="45" s="1"/>
  <c r="AL76" i="45"/>
  <c r="AJ77" i="45" s="1"/>
  <c r="AL71" i="45"/>
  <c r="AJ72" i="45" s="1"/>
  <c r="AJ73" i="45" s="1"/>
  <c r="AQ68" i="45"/>
  <c r="AQ67" i="45"/>
  <c r="AQ66" i="45"/>
  <c r="AQ65" i="45"/>
  <c r="AQ64" i="45"/>
  <c r="AQ63" i="45"/>
  <c r="AQ62" i="45"/>
  <c r="B62" i="45"/>
  <c r="B63" i="45" s="1"/>
  <c r="AQ61" i="45"/>
  <c r="C61" i="45"/>
  <c r="AQ60" i="45"/>
  <c r="AQ59" i="45"/>
  <c r="AQ58" i="45"/>
  <c r="AQ57" i="45"/>
  <c r="AQ56" i="45"/>
  <c r="AQ55" i="45"/>
  <c r="AQ54" i="45"/>
  <c r="AQ53" i="45"/>
  <c r="AK42" i="45"/>
  <c r="AK41" i="45"/>
  <c r="U40" i="45"/>
  <c r="AJ39" i="45"/>
  <c r="AK39" i="45" s="1"/>
  <c r="D39" i="45"/>
  <c r="C39" i="45"/>
  <c r="B39" i="45"/>
  <c r="AJ35" i="45"/>
  <c r="AK35" i="45" s="1"/>
  <c r="AJ34" i="45"/>
  <c r="AK34" i="45" s="1"/>
  <c r="AQ38" i="45" s="1"/>
  <c r="AJ33" i="45"/>
  <c r="AK33" i="45" s="1"/>
  <c r="AQ37" i="45" s="1"/>
  <c r="DZ32" i="45"/>
  <c r="DY32" i="45"/>
  <c r="DX32" i="45"/>
  <c r="DW32" i="45"/>
  <c r="DV32" i="45"/>
  <c r="DU32" i="45"/>
  <c r="DT32" i="45"/>
  <c r="DS32" i="45"/>
  <c r="DR32" i="45"/>
  <c r="DQ32" i="45"/>
  <c r="DP32" i="45"/>
  <c r="DO32" i="45"/>
  <c r="DN32" i="45"/>
  <c r="DM32" i="45"/>
  <c r="DL32" i="45"/>
  <c r="DK32" i="45"/>
  <c r="DJ32" i="45"/>
  <c r="DI32" i="45"/>
  <c r="DH32" i="45"/>
  <c r="DG32" i="45"/>
  <c r="DF32" i="45"/>
  <c r="DE32" i="45"/>
  <c r="DD32" i="45"/>
  <c r="DC32" i="45"/>
  <c r="AQ32" i="45"/>
  <c r="AQ33" i="45" s="1"/>
  <c r="AJ32" i="45"/>
  <c r="AK32" i="45" s="1"/>
  <c r="AK63" i="45" s="1"/>
  <c r="AJ31" i="45"/>
  <c r="AK31" i="45" s="1"/>
  <c r="AK62" i="45" s="1"/>
  <c r="G31" i="45"/>
  <c r="AJ30" i="45"/>
  <c r="AK30" i="45" s="1"/>
  <c r="AK54" i="45" s="1"/>
  <c r="BG29" i="45"/>
  <c r="AT29" i="45"/>
  <c r="AJ29" i="45"/>
  <c r="AK29" i="45" s="1"/>
  <c r="BT28" i="45" s="1"/>
  <c r="CG28" i="45"/>
  <c r="AK28" i="45"/>
  <c r="AL28" i="45" s="1"/>
  <c r="U28" i="45"/>
  <c r="CN28" i="45" s="1"/>
  <c r="CG27" i="45"/>
  <c r="AY27" i="45"/>
  <c r="AZ27" i="45" s="1"/>
  <c r="AM27" i="45"/>
  <c r="AN27" i="45" s="1"/>
  <c r="AK27" i="45"/>
  <c r="AL27" i="45" s="1"/>
  <c r="U27" i="45"/>
  <c r="DB56" i="45" s="1"/>
  <c r="CG26" i="45"/>
  <c r="AY26" i="45"/>
  <c r="AZ26" i="45" s="1"/>
  <c r="BD26" i="45" s="1"/>
  <c r="BE26" i="45" s="1"/>
  <c r="BF26" i="45" s="1"/>
  <c r="AM26" i="45"/>
  <c r="AK26" i="45"/>
  <c r="AL26" i="45" s="1"/>
  <c r="U26" i="45"/>
  <c r="CG25" i="45"/>
  <c r="AY25" i="45"/>
  <c r="AZ25" i="45" s="1"/>
  <c r="AM25" i="45"/>
  <c r="AK25" i="45"/>
  <c r="AL25" i="45" s="1"/>
  <c r="U25" i="45"/>
  <c r="DB54" i="45" s="1"/>
  <c r="CG24" i="45"/>
  <c r="AY24" i="45"/>
  <c r="AZ24" i="45" s="1"/>
  <c r="BD24" i="45" s="1"/>
  <c r="BE24" i="45" s="1"/>
  <c r="BF24" i="45" s="1"/>
  <c r="AM24" i="45"/>
  <c r="AN24" i="45" s="1"/>
  <c r="AK24" i="45"/>
  <c r="AL24" i="45" s="1"/>
  <c r="U24" i="45"/>
  <c r="DB53" i="45" s="1"/>
  <c r="CG23" i="45"/>
  <c r="AY23" i="45"/>
  <c r="AZ23" i="45" s="1"/>
  <c r="BD23" i="45" s="1"/>
  <c r="BE23" i="45" s="1"/>
  <c r="BF23" i="45" s="1"/>
  <c r="AM23" i="45"/>
  <c r="AN23" i="45" s="1"/>
  <c r="CU24" i="45" s="1"/>
  <c r="AK23" i="45"/>
  <c r="AL23" i="45" s="1"/>
  <c r="U23" i="45"/>
  <c r="CG22" i="45"/>
  <c r="AY22" i="45"/>
  <c r="AZ22" i="45" s="1"/>
  <c r="BD22" i="45" s="1"/>
  <c r="BE22" i="45" s="1"/>
  <c r="BF22" i="45" s="1"/>
  <c r="AM22" i="45"/>
  <c r="AN22" i="45" s="1"/>
  <c r="AK22" i="45"/>
  <c r="AL22" i="45" s="1"/>
  <c r="U22" i="45"/>
  <c r="CN21" i="45"/>
  <c r="CG21" i="45"/>
  <c r="AY21" i="45"/>
  <c r="AZ21" i="45" s="1"/>
  <c r="AM21" i="45"/>
  <c r="AN21" i="45" s="1"/>
  <c r="AK21" i="45"/>
  <c r="AL21" i="45" s="1"/>
  <c r="U21" i="45"/>
  <c r="CG20" i="45"/>
  <c r="AY20" i="45"/>
  <c r="AZ20" i="45" s="1"/>
  <c r="AM20" i="45"/>
  <c r="AN20" i="45" s="1"/>
  <c r="AK20" i="45"/>
  <c r="AL20" i="45" s="1"/>
  <c r="U20" i="45"/>
  <c r="CG19" i="45"/>
  <c r="AY19" i="45"/>
  <c r="AZ19" i="45" s="1"/>
  <c r="AM19" i="45"/>
  <c r="AK19" i="45"/>
  <c r="AL19" i="45" s="1"/>
  <c r="U19" i="45"/>
  <c r="CG18" i="45"/>
  <c r="AY18" i="45"/>
  <c r="AZ18" i="45" s="1"/>
  <c r="AM18" i="45"/>
  <c r="AN18" i="45" s="1"/>
  <c r="AK18" i="45"/>
  <c r="AL18" i="45" s="1"/>
  <c r="U18" i="45"/>
  <c r="B18" i="45"/>
  <c r="CG17" i="45"/>
  <c r="AY17" i="45"/>
  <c r="AZ17" i="45" s="1"/>
  <c r="AM17" i="45"/>
  <c r="AN17" i="45" s="1"/>
  <c r="AR17" i="45" s="1"/>
  <c r="AK17" i="45"/>
  <c r="AL17" i="45" s="1"/>
  <c r="U17" i="45"/>
  <c r="DB46" i="45" s="1"/>
  <c r="CG16" i="45"/>
  <c r="AY16" i="45"/>
  <c r="AZ16" i="45" s="1"/>
  <c r="AM16" i="45"/>
  <c r="AN16" i="45" s="1"/>
  <c r="AK16" i="45"/>
  <c r="AL16" i="45" s="1"/>
  <c r="U16" i="45"/>
  <c r="DB45" i="45" s="1"/>
  <c r="CG15" i="45"/>
  <c r="AY15" i="45"/>
  <c r="AZ15" i="45" s="1"/>
  <c r="AM15" i="45"/>
  <c r="AN15" i="45" s="1"/>
  <c r="DN30" i="45" s="1"/>
  <c r="AK15" i="45"/>
  <c r="AL15" i="45" s="1"/>
  <c r="U15" i="45"/>
  <c r="DB44" i="45" s="1"/>
  <c r="CG14" i="45"/>
  <c r="AY14" i="45"/>
  <c r="AZ14" i="45" s="1"/>
  <c r="AM14" i="45"/>
  <c r="AN14" i="45" s="1"/>
  <c r="DM30" i="45" s="1"/>
  <c r="AK14" i="45"/>
  <c r="AL14" i="45" s="1"/>
  <c r="U14" i="45"/>
  <c r="DB43" i="45" s="1"/>
  <c r="CG13" i="45"/>
  <c r="AY13" i="45"/>
  <c r="AZ13" i="45" s="1"/>
  <c r="AM13" i="45"/>
  <c r="AN13" i="45" s="1"/>
  <c r="AK13" i="45"/>
  <c r="AL13" i="45" s="1"/>
  <c r="U13" i="45"/>
  <c r="AJ13" i="45" s="1"/>
  <c r="CG12" i="45"/>
  <c r="AY12" i="45"/>
  <c r="AZ12" i="45" s="1"/>
  <c r="AM12" i="45"/>
  <c r="AK12" i="45"/>
  <c r="AL12" i="45" s="1"/>
  <c r="U12" i="45"/>
  <c r="DB41" i="45" s="1"/>
  <c r="CG11" i="45"/>
  <c r="AY11" i="45"/>
  <c r="AZ11" i="45" s="1"/>
  <c r="AM11" i="45"/>
  <c r="AN11" i="45" s="1"/>
  <c r="AP11" i="45" s="1"/>
  <c r="AK11" i="45"/>
  <c r="AL11" i="45" s="1"/>
  <c r="U11" i="45"/>
  <c r="CG10" i="45"/>
  <c r="AY10" i="45"/>
  <c r="AZ10" i="45" s="1"/>
  <c r="AM10" i="45"/>
  <c r="AN10" i="45" s="1"/>
  <c r="AK10" i="45"/>
  <c r="AL10" i="45" s="1"/>
  <c r="U10" i="45"/>
  <c r="DB39" i="45" s="1"/>
  <c r="CG9" i="45"/>
  <c r="AY9" i="45"/>
  <c r="AZ9" i="45" s="1"/>
  <c r="AM9" i="45"/>
  <c r="AN9" i="45" s="1"/>
  <c r="AK9" i="45"/>
  <c r="AL9" i="45" s="1"/>
  <c r="U9" i="45"/>
  <c r="DB38" i="45" s="1"/>
  <c r="CG8" i="45"/>
  <c r="AY8" i="45"/>
  <c r="AZ8" i="45" s="1"/>
  <c r="AM8" i="45"/>
  <c r="AK8" i="45"/>
  <c r="AL8" i="45" s="1"/>
  <c r="U8" i="45"/>
  <c r="DB37" i="45" s="1"/>
  <c r="CG7" i="45"/>
  <c r="AY7" i="45"/>
  <c r="AZ7" i="45" s="1"/>
  <c r="AM7" i="45"/>
  <c r="AN7" i="45" s="1"/>
  <c r="DF30" i="45" s="1"/>
  <c r="AK7" i="45"/>
  <c r="AL7" i="45" s="1"/>
  <c r="U7" i="45"/>
  <c r="DB36" i="45" s="1"/>
  <c r="CG6" i="45"/>
  <c r="AY6" i="45"/>
  <c r="AZ6" i="45" s="1"/>
  <c r="AM6" i="45"/>
  <c r="AN6" i="45" s="1"/>
  <c r="AK6" i="45"/>
  <c r="AL6" i="45" s="1"/>
  <c r="U6" i="45"/>
  <c r="DB35" i="45" s="1"/>
  <c r="CG5" i="45"/>
  <c r="AY5" i="45"/>
  <c r="AZ5" i="45" s="1"/>
  <c r="AM5" i="45"/>
  <c r="AN5" i="45" s="1"/>
  <c r="AK5" i="45"/>
  <c r="AL5" i="45" s="1"/>
  <c r="X5" i="45"/>
  <c r="U5" i="45"/>
  <c r="DB34" i="45" s="1"/>
  <c r="CG4" i="45"/>
  <c r="BZ4" i="45"/>
  <c r="DC33" i="45" s="1"/>
  <c r="AY4" i="45"/>
  <c r="AZ4" i="45" s="1"/>
  <c r="AM4" i="45"/>
  <c r="AN4" i="45" s="1"/>
  <c r="AK4" i="45"/>
  <c r="AL4" i="45" s="1"/>
  <c r="U4" i="45"/>
  <c r="DB33" i="45" s="1"/>
  <c r="Y3" i="45"/>
  <c r="AJ16" i="45" l="1"/>
  <c r="AJ25" i="45"/>
  <c r="AJ14" i="45"/>
  <c r="AJ12" i="45"/>
  <c r="AJ28" i="45"/>
  <c r="CG29" i="45"/>
  <c r="AJ15" i="45"/>
  <c r="AJ17" i="45"/>
  <c r="BI9" i="45"/>
  <c r="BJ9" i="45" s="1"/>
  <c r="AJ24" i="45"/>
  <c r="AJ5" i="45"/>
  <c r="AJ7" i="45"/>
  <c r="AJ27" i="45"/>
  <c r="AJ6" i="45"/>
  <c r="AJ79" i="45"/>
  <c r="BT5" i="45"/>
  <c r="BT12" i="45"/>
  <c r="V4" i="45"/>
  <c r="BT7" i="45"/>
  <c r="BT11" i="45"/>
  <c r="BI4" i="45"/>
  <c r="BJ4" i="45" s="1"/>
  <c r="BT6" i="45"/>
  <c r="BI10" i="45"/>
  <c r="BJ10" i="45" s="1"/>
  <c r="BI20" i="45"/>
  <c r="BJ20" i="45" s="1"/>
  <c r="BT13" i="45"/>
  <c r="BA8" i="45"/>
  <c r="BQ8" i="45" s="1"/>
  <c r="BT4" i="45"/>
  <c r="BA7" i="45"/>
  <c r="BQ7" i="45" s="1"/>
  <c r="BI8" i="45"/>
  <c r="BJ8" i="45" s="1"/>
  <c r="BT9" i="45"/>
  <c r="BT15" i="45"/>
  <c r="BT20" i="45"/>
  <c r="BT10" i="45"/>
  <c r="BT16" i="45"/>
  <c r="BA18" i="45"/>
  <c r="BI5" i="45"/>
  <c r="BJ5" i="45" s="1"/>
  <c r="BI6" i="45"/>
  <c r="BJ6" i="45" s="1"/>
  <c r="BI7" i="45"/>
  <c r="BJ7" i="45" s="1"/>
  <c r="BT8" i="45"/>
  <c r="BI11" i="45"/>
  <c r="BJ11" i="45" s="1"/>
  <c r="BI12" i="45"/>
  <c r="BJ12" i="45" s="1"/>
  <c r="BI13" i="45"/>
  <c r="BJ13" i="45" s="1"/>
  <c r="BI14" i="45"/>
  <c r="BJ14" i="45" s="1"/>
  <c r="BI19" i="45"/>
  <c r="BJ19" i="45" s="1"/>
  <c r="BI23" i="45"/>
  <c r="BJ23" i="45" s="1"/>
  <c r="BI18" i="45"/>
  <c r="BJ18" i="45" s="1"/>
  <c r="BT19" i="45"/>
  <c r="BI22" i="45"/>
  <c r="BJ22" i="45" s="1"/>
  <c r="BT26" i="45"/>
  <c r="BI27" i="45"/>
  <c r="BJ27" i="45" s="1"/>
  <c r="AO5" i="45"/>
  <c r="AS5" i="45" s="1"/>
  <c r="BT14" i="45"/>
  <c r="BI15" i="45"/>
  <c r="BJ15" i="45" s="1"/>
  <c r="BI16" i="45"/>
  <c r="BJ16" i="45" s="1"/>
  <c r="BT17" i="45"/>
  <c r="BT18" i="45"/>
  <c r="BA20" i="45"/>
  <c r="BQ20" i="45" s="1"/>
  <c r="BT21" i="45"/>
  <c r="BT27" i="45"/>
  <c r="BI24" i="45"/>
  <c r="BJ24" i="45" s="1"/>
  <c r="BI26" i="45"/>
  <c r="BJ26" i="45" s="1"/>
  <c r="DW30" i="45"/>
  <c r="AX24" i="45"/>
  <c r="BL24" i="45" s="1"/>
  <c r="AR24" i="45"/>
  <c r="DO30" i="45"/>
  <c r="AR16" i="45"/>
  <c r="AX16" i="45"/>
  <c r="BL16" i="45" s="1"/>
  <c r="BT24" i="45"/>
  <c r="BI25" i="45"/>
  <c r="BJ25" i="45" s="1"/>
  <c r="AR14" i="45"/>
  <c r="AN8" i="45"/>
  <c r="AR8" i="45" s="1"/>
  <c r="BI17" i="45"/>
  <c r="BJ17" i="45" s="1"/>
  <c r="BI21" i="45"/>
  <c r="BJ21" i="45" s="1"/>
  <c r="BA22" i="45"/>
  <c r="BQ22" i="45" s="1"/>
  <c r="BA23" i="45"/>
  <c r="BT25" i="45"/>
  <c r="CV22" i="45"/>
  <c r="AN25" i="45"/>
  <c r="DX30" i="45" s="1"/>
  <c r="AP14" i="45"/>
  <c r="AP24" i="45"/>
  <c r="CV6" i="45"/>
  <c r="AP16" i="45"/>
  <c r="AX14" i="45"/>
  <c r="BL14" i="45" s="1"/>
  <c r="AT30" i="45"/>
  <c r="AT31" i="45" s="1"/>
  <c r="CV19" i="45"/>
  <c r="CU25" i="45"/>
  <c r="AK65" i="45"/>
  <c r="AK66" i="45" s="1"/>
  <c r="AK67" i="45" s="1"/>
  <c r="BD4" i="45"/>
  <c r="BE4" i="45" s="1"/>
  <c r="BF4" i="45" s="1"/>
  <c r="BA4" i="45"/>
  <c r="DD30" i="45"/>
  <c r="CU6" i="45"/>
  <c r="CW6" i="45" s="1"/>
  <c r="AR5" i="45"/>
  <c r="AX5" i="45"/>
  <c r="BL5" i="45" s="1"/>
  <c r="AP5" i="45"/>
  <c r="BA10" i="45"/>
  <c r="CV11" i="45"/>
  <c r="AO11" i="45"/>
  <c r="BA5" i="45"/>
  <c r="BD5" i="45"/>
  <c r="BE5" i="45" s="1"/>
  <c r="BF5" i="45" s="1"/>
  <c r="CV8" i="45"/>
  <c r="DE30" i="45"/>
  <c r="AR6" i="45"/>
  <c r="CU7" i="45"/>
  <c r="AX6" i="45"/>
  <c r="BL6" i="45" s="1"/>
  <c r="AP6" i="45"/>
  <c r="CV7" i="45"/>
  <c r="AO7" i="45"/>
  <c r="DH30" i="45"/>
  <c r="CU10" i="45"/>
  <c r="AR9" i="45"/>
  <c r="AX9" i="45"/>
  <c r="BL9" i="45" s="1"/>
  <c r="AP9" i="45"/>
  <c r="CV10" i="45"/>
  <c r="AO10" i="45"/>
  <c r="DC30" i="45"/>
  <c r="CU5" i="45"/>
  <c r="AR4" i="45"/>
  <c r="AP4" i="45"/>
  <c r="AX4" i="45"/>
  <c r="BL4" i="45" s="1"/>
  <c r="BU4" i="45" s="1"/>
  <c r="Z4" i="45"/>
  <c r="BA6" i="45"/>
  <c r="BD6" i="45"/>
  <c r="BE6" i="45" s="1"/>
  <c r="BF6" i="45" s="1"/>
  <c r="BD9" i="45"/>
  <c r="BE9" i="45" s="1"/>
  <c r="BF9" i="45" s="1"/>
  <c r="BA9" i="45"/>
  <c r="DI30" i="45"/>
  <c r="CU11" i="45"/>
  <c r="AR10" i="45"/>
  <c r="AX10" i="45"/>
  <c r="BL10" i="45" s="1"/>
  <c r="AP10" i="45"/>
  <c r="BA11" i="45"/>
  <c r="AO4" i="45"/>
  <c r="CV5" i="45"/>
  <c r="AJ8" i="45"/>
  <c r="BD8" i="45"/>
  <c r="BE8" i="45" s="1"/>
  <c r="BF8" i="45" s="1"/>
  <c r="CU8" i="45"/>
  <c r="AO9" i="45"/>
  <c r="CN9" i="45"/>
  <c r="CV9" i="45"/>
  <c r="CN10" i="45"/>
  <c r="DB40" i="45"/>
  <c r="CN11" i="45"/>
  <c r="BA12" i="45"/>
  <c r="DL30" i="45"/>
  <c r="AX13" i="45"/>
  <c r="BL13" i="45" s="1"/>
  <c r="AR13" i="45"/>
  <c r="CU14" i="45"/>
  <c r="AP13" i="45"/>
  <c r="AR7" i="45"/>
  <c r="BD7" i="45"/>
  <c r="BE7" i="45" s="1"/>
  <c r="BF7" i="45" s="1"/>
  <c r="CN8" i="45"/>
  <c r="DD33" i="45"/>
  <c r="DC58" i="45"/>
  <c r="DC59" i="45" s="1"/>
  <c r="DD5" i="45" s="1"/>
  <c r="CN4" i="45"/>
  <c r="DB4" i="45"/>
  <c r="CN7" i="45"/>
  <c r="CV12" i="45"/>
  <c r="X4" i="45"/>
  <c r="AJ4" i="45"/>
  <c r="CA4" i="45"/>
  <c r="CB4" i="45" s="1"/>
  <c r="CN5" i="45"/>
  <c r="AO6" i="45"/>
  <c r="CN6" i="45"/>
  <c r="AP7" i="45"/>
  <c r="AX7" i="45"/>
  <c r="BL7" i="45" s="1"/>
  <c r="AJ9" i="45"/>
  <c r="AJ10" i="45"/>
  <c r="AJ11" i="45"/>
  <c r="DJ30" i="45"/>
  <c r="CU12" i="45"/>
  <c r="AR11" i="45"/>
  <c r="AX11" i="45"/>
  <c r="BL11" i="45" s="1"/>
  <c r="AN12" i="45"/>
  <c r="AO12" i="45" s="1"/>
  <c r="CV13" i="45"/>
  <c r="CV15" i="45"/>
  <c r="AO15" i="45"/>
  <c r="AR15" i="45"/>
  <c r="CV17" i="45"/>
  <c r="AO17" i="45"/>
  <c r="BA19" i="45"/>
  <c r="DT30" i="45"/>
  <c r="CU22" i="45"/>
  <c r="AR21" i="45"/>
  <c r="AX21" i="45"/>
  <c r="BL21" i="45" s="1"/>
  <c r="AP21" i="45"/>
  <c r="DB51" i="45"/>
  <c r="AJ22" i="45"/>
  <c r="AO22" i="45"/>
  <c r="BA13" i="45"/>
  <c r="BA15" i="45"/>
  <c r="CU16" i="45"/>
  <c r="BA17" i="45"/>
  <c r="DB47" i="45"/>
  <c r="AJ18" i="45"/>
  <c r="BQ18" i="45"/>
  <c r="CV20" i="45"/>
  <c r="CV23" i="45"/>
  <c r="CV14" i="45"/>
  <c r="AO14" i="45"/>
  <c r="CV16" i="45"/>
  <c r="AO16" i="45"/>
  <c r="DP30" i="45"/>
  <c r="CU18" i="45"/>
  <c r="DQ30" i="45"/>
  <c r="CU19" i="45"/>
  <c r="AR18" i="45"/>
  <c r="AX18" i="45"/>
  <c r="BL18" i="45" s="1"/>
  <c r="AP18" i="45"/>
  <c r="CN18" i="45"/>
  <c r="CV18" i="45"/>
  <c r="DB48" i="45"/>
  <c r="AJ19" i="45"/>
  <c r="CV21" i="45"/>
  <c r="CN12" i="45"/>
  <c r="DB42" i="45"/>
  <c r="CN13" i="45"/>
  <c r="AO13" i="45"/>
  <c r="BA14" i="45"/>
  <c r="AP15" i="45"/>
  <c r="AX15" i="45"/>
  <c r="BL15" i="45" s="1"/>
  <c r="CU15" i="45"/>
  <c r="BA16" i="45"/>
  <c r="AP17" i="45"/>
  <c r="AX17" i="45"/>
  <c r="BL17" i="45" s="1"/>
  <c r="CU17" i="45"/>
  <c r="AO18" i="45"/>
  <c r="AN19" i="45"/>
  <c r="AO19" i="45" s="1"/>
  <c r="CN19" i="45"/>
  <c r="DB49" i="45"/>
  <c r="AJ20" i="45"/>
  <c r="CN20" i="45"/>
  <c r="AO20" i="45"/>
  <c r="BA21" i="45"/>
  <c r="CN22" i="45"/>
  <c r="DB52" i="45"/>
  <c r="AJ23" i="45"/>
  <c r="CN23" i="45"/>
  <c r="AO23" i="45"/>
  <c r="AO21" i="45"/>
  <c r="DU30" i="45"/>
  <c r="CU23" i="45"/>
  <c r="AR22" i="45"/>
  <c r="AX22" i="45"/>
  <c r="BL22" i="45" s="1"/>
  <c r="AP22" i="45"/>
  <c r="AR23" i="45"/>
  <c r="DV30" i="45"/>
  <c r="AX23" i="45"/>
  <c r="BL23" i="45" s="1"/>
  <c r="AP23" i="45"/>
  <c r="CV25" i="45"/>
  <c r="BA25" i="45"/>
  <c r="CU28" i="45"/>
  <c r="AR27" i="45"/>
  <c r="DZ30" i="45"/>
  <c r="AX27" i="45"/>
  <c r="BL27" i="45" s="1"/>
  <c r="AP27" i="45"/>
  <c r="CN14" i="45"/>
  <c r="CN15" i="45"/>
  <c r="CN16" i="45"/>
  <c r="CN17" i="45"/>
  <c r="DS30" i="45"/>
  <c r="CU21" i="45"/>
  <c r="AR20" i="45"/>
  <c r="AX20" i="45"/>
  <c r="BL20" i="45" s="1"/>
  <c r="AP20" i="45"/>
  <c r="DB50" i="45"/>
  <c r="AJ21" i="45"/>
  <c r="CV24" i="45"/>
  <c r="CW24" i="45" s="1"/>
  <c r="AO24" i="45"/>
  <c r="AN26" i="45"/>
  <c r="AO26" i="45" s="1"/>
  <c r="CV28" i="45"/>
  <c r="BQ23" i="45"/>
  <c r="BA24" i="45"/>
  <c r="BD25" i="45"/>
  <c r="BE25" i="45" s="1"/>
  <c r="BF25" i="45" s="1"/>
  <c r="CV27" i="45"/>
  <c r="AO27" i="45"/>
  <c r="BT22" i="45"/>
  <c r="BT23" i="45"/>
  <c r="CN24" i="45"/>
  <c r="CN25" i="45"/>
  <c r="DB55" i="45"/>
  <c r="CN26" i="45"/>
  <c r="CV26" i="45"/>
  <c r="BA27" i="45"/>
  <c r="AJ26" i="45"/>
  <c r="BA26" i="45"/>
  <c r="BD27" i="45"/>
  <c r="BE27" i="45" s="1"/>
  <c r="BF27" i="45" s="1"/>
  <c r="BI28" i="45"/>
  <c r="BJ28" i="45" s="1"/>
  <c r="AK53" i="45"/>
  <c r="AK56" i="45" s="1"/>
  <c r="AK57" i="45" s="1"/>
  <c r="AT32" i="45"/>
  <c r="AT33" i="45" s="1"/>
  <c r="B64" i="45"/>
  <c r="C63" i="45"/>
  <c r="CN27" i="45"/>
  <c r="C62" i="45"/>
  <c r="BZ4" i="43"/>
  <c r="AX106" i="43"/>
  <c r="AV106" i="43"/>
  <c r="AY106" i="43" s="1"/>
  <c r="AX105" i="43"/>
  <c r="AV105" i="43"/>
  <c r="AY105" i="43" s="1"/>
  <c r="AX104" i="43"/>
  <c r="AV104" i="43"/>
  <c r="AY104" i="43" s="1"/>
  <c r="AX103" i="43"/>
  <c r="AV103" i="43"/>
  <c r="AY103" i="43" s="1"/>
  <c r="AX102" i="43"/>
  <c r="AV102" i="43"/>
  <c r="AY102" i="43" s="1"/>
  <c r="AX101" i="43"/>
  <c r="AV101" i="43"/>
  <c r="AY101" i="43" s="1"/>
  <c r="AX100" i="43"/>
  <c r="AV100" i="43"/>
  <c r="AY100" i="43" s="1"/>
  <c r="AX99" i="43"/>
  <c r="AV99" i="43"/>
  <c r="AY99" i="43" s="1"/>
  <c r="AX98" i="43"/>
  <c r="AV98" i="43"/>
  <c r="AY98" i="43" s="1"/>
  <c r="AX97" i="43"/>
  <c r="AV97" i="43"/>
  <c r="AY97" i="43" s="1"/>
  <c r="AX96" i="43"/>
  <c r="AV96" i="43"/>
  <c r="AY96" i="43" s="1"/>
  <c r="AX95" i="43"/>
  <c r="AV95" i="43"/>
  <c r="AY95" i="43" s="1"/>
  <c r="AX94" i="43"/>
  <c r="AV94" i="43"/>
  <c r="AY94" i="43" s="1"/>
  <c r="AQ94" i="43"/>
  <c r="AX93" i="43"/>
  <c r="AV93" i="43"/>
  <c r="AY93" i="43" s="1"/>
  <c r="AQ93" i="43"/>
  <c r="AX92" i="43"/>
  <c r="AV92" i="43"/>
  <c r="AY92" i="43" s="1"/>
  <c r="AQ92" i="43"/>
  <c r="AX91" i="43"/>
  <c r="AV91" i="43"/>
  <c r="AY91" i="43" s="1"/>
  <c r="AQ91" i="43"/>
  <c r="AX90" i="43"/>
  <c r="AV90" i="43"/>
  <c r="AY90" i="43" s="1"/>
  <c r="AX89" i="43"/>
  <c r="AV89" i="43"/>
  <c r="AY89" i="43" s="1"/>
  <c r="AY88" i="43"/>
  <c r="AX88" i="43"/>
  <c r="AW87" i="43"/>
  <c r="AO78" i="43"/>
  <c r="AL79" i="43" s="1"/>
  <c r="AL76" i="43"/>
  <c r="AJ77" i="43" s="1"/>
  <c r="AL71" i="43"/>
  <c r="AJ72" i="43" s="1"/>
  <c r="AJ73" i="43" s="1"/>
  <c r="AQ68" i="43"/>
  <c r="AQ67" i="43"/>
  <c r="AQ66" i="43"/>
  <c r="AQ65" i="43"/>
  <c r="AQ64" i="43"/>
  <c r="AQ63" i="43"/>
  <c r="AQ62" i="43"/>
  <c r="B62" i="43"/>
  <c r="C62" i="43" s="1"/>
  <c r="AQ61" i="43"/>
  <c r="C61" i="43"/>
  <c r="AQ60" i="43"/>
  <c r="AQ59" i="43"/>
  <c r="AQ58" i="43"/>
  <c r="AQ57" i="43"/>
  <c r="AQ56" i="43"/>
  <c r="AQ55" i="43"/>
  <c r="AQ54" i="43"/>
  <c r="AQ53" i="43"/>
  <c r="AK42" i="43"/>
  <c r="AK41" i="43"/>
  <c r="U40" i="43"/>
  <c r="AJ39" i="43"/>
  <c r="AK39" i="43" s="1"/>
  <c r="D39" i="43"/>
  <c r="C39" i="43"/>
  <c r="B39" i="43"/>
  <c r="AJ35" i="43"/>
  <c r="AK35" i="43" s="1"/>
  <c r="AJ34" i="43"/>
  <c r="AK34" i="43" s="1"/>
  <c r="AQ38" i="43" s="1"/>
  <c r="AJ33" i="43"/>
  <c r="AK33" i="43" s="1"/>
  <c r="AQ37" i="43" s="1"/>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AQ32" i="43"/>
  <c r="AQ33" i="43" s="1"/>
  <c r="AJ32" i="43"/>
  <c r="AK32" i="43" s="1"/>
  <c r="AK63" i="43" s="1"/>
  <c r="AJ31" i="43"/>
  <c r="AK31" i="43" s="1"/>
  <c r="BI11" i="43" s="1"/>
  <c r="BJ11" i="43" s="1"/>
  <c r="G31" i="43"/>
  <c r="AJ30" i="43"/>
  <c r="AK30" i="43" s="1"/>
  <c r="AK54" i="43" s="1"/>
  <c r="BG29" i="43"/>
  <c r="AT29" i="43"/>
  <c r="AJ29" i="43"/>
  <c r="CG28" i="43"/>
  <c r="U28" i="43"/>
  <c r="CG27" i="43"/>
  <c r="AY27" i="43"/>
  <c r="AZ27" i="43" s="1"/>
  <c r="AM27" i="43"/>
  <c r="AK27" i="43"/>
  <c r="AL27" i="43" s="1"/>
  <c r="U27" i="43"/>
  <c r="CG26" i="43"/>
  <c r="AY26" i="43"/>
  <c r="AZ26" i="43" s="1"/>
  <c r="BD26" i="43" s="1"/>
  <c r="BE26" i="43" s="1"/>
  <c r="BF26" i="43" s="1"/>
  <c r="AM26" i="43"/>
  <c r="AN26" i="43" s="1"/>
  <c r="AP26" i="43" s="1"/>
  <c r="AK26" i="43"/>
  <c r="AL26" i="43" s="1"/>
  <c r="U26" i="43"/>
  <c r="CN26" i="43" s="1"/>
  <c r="CG25" i="43"/>
  <c r="AY25" i="43"/>
  <c r="AZ25" i="43" s="1"/>
  <c r="AM25" i="43"/>
  <c r="AN25" i="43" s="1"/>
  <c r="AK25" i="43"/>
  <c r="AL25" i="43" s="1"/>
  <c r="U25" i="43"/>
  <c r="DB54" i="43" s="1"/>
  <c r="CG24" i="43"/>
  <c r="AY24" i="43"/>
  <c r="AZ24" i="43" s="1"/>
  <c r="AM24" i="43"/>
  <c r="AN24" i="43" s="1"/>
  <c r="AK24" i="43"/>
  <c r="AL24" i="43" s="1"/>
  <c r="U24" i="43"/>
  <c r="DB53" i="43" s="1"/>
  <c r="CG23" i="43"/>
  <c r="AY23" i="43"/>
  <c r="AZ23" i="43" s="1"/>
  <c r="BD23" i="43" s="1"/>
  <c r="BE23" i="43" s="1"/>
  <c r="BF23" i="43" s="1"/>
  <c r="AM23" i="43"/>
  <c r="AN23" i="43" s="1"/>
  <c r="AR23" i="43" s="1"/>
  <c r="AK23" i="43"/>
  <c r="AL23" i="43" s="1"/>
  <c r="U23" i="43"/>
  <c r="DB52" i="43" s="1"/>
  <c r="CG22" i="43"/>
  <c r="AY22" i="43"/>
  <c r="AZ22" i="43" s="1"/>
  <c r="BD22" i="43" s="1"/>
  <c r="BE22" i="43" s="1"/>
  <c r="BF22" i="43" s="1"/>
  <c r="AM22" i="43"/>
  <c r="AN22" i="43" s="1"/>
  <c r="CU23" i="43" s="1"/>
  <c r="AK22" i="43"/>
  <c r="AL22" i="43" s="1"/>
  <c r="U22" i="43"/>
  <c r="DB51" i="43" s="1"/>
  <c r="CG21" i="43"/>
  <c r="AY21" i="43"/>
  <c r="AZ21" i="43" s="1"/>
  <c r="AM21" i="43"/>
  <c r="AN21" i="43" s="1"/>
  <c r="CU22" i="43" s="1"/>
  <c r="AK21" i="43"/>
  <c r="AL21" i="43" s="1"/>
  <c r="U21" i="43"/>
  <c r="DB50" i="43" s="1"/>
  <c r="CG20" i="43"/>
  <c r="AY20" i="43"/>
  <c r="AZ20" i="43" s="1"/>
  <c r="AM20" i="43"/>
  <c r="AN20" i="43" s="1"/>
  <c r="CU21" i="43" s="1"/>
  <c r="AK20" i="43"/>
  <c r="AL20" i="43" s="1"/>
  <c r="U20" i="43"/>
  <c r="DB49" i="43" s="1"/>
  <c r="CG19" i="43"/>
  <c r="AY19" i="43"/>
  <c r="AZ19" i="43" s="1"/>
  <c r="AM19" i="43"/>
  <c r="AN19" i="43" s="1"/>
  <c r="CU20" i="43" s="1"/>
  <c r="AK19" i="43"/>
  <c r="AL19" i="43" s="1"/>
  <c r="U19" i="43"/>
  <c r="DB48" i="43" s="1"/>
  <c r="CG18" i="43"/>
  <c r="AY18" i="43"/>
  <c r="AZ18" i="43" s="1"/>
  <c r="AM18" i="43"/>
  <c r="AN18" i="43" s="1"/>
  <c r="AR18" i="43" s="1"/>
  <c r="AK18" i="43"/>
  <c r="AL18" i="43" s="1"/>
  <c r="U18" i="43"/>
  <c r="DB47" i="43" s="1"/>
  <c r="B18" i="43"/>
  <c r="CG17" i="43"/>
  <c r="AY17" i="43"/>
  <c r="AZ17" i="43" s="1"/>
  <c r="AM17" i="43"/>
  <c r="AN17" i="43" s="1"/>
  <c r="AP17" i="43" s="1"/>
  <c r="AK17" i="43"/>
  <c r="AL17" i="43" s="1"/>
  <c r="U17" i="43"/>
  <c r="CN17" i="43" s="1"/>
  <c r="CG16" i="43"/>
  <c r="AY16" i="43"/>
  <c r="AZ16" i="43" s="1"/>
  <c r="AM16" i="43"/>
  <c r="AN16" i="43" s="1"/>
  <c r="AR16" i="43" s="1"/>
  <c r="AK16" i="43"/>
  <c r="AL16" i="43" s="1"/>
  <c r="U16" i="43"/>
  <c r="DB45" i="43" s="1"/>
  <c r="CG15" i="43"/>
  <c r="AY15" i="43"/>
  <c r="AZ15" i="43" s="1"/>
  <c r="AM15" i="43"/>
  <c r="AN15" i="43" s="1"/>
  <c r="CU16" i="43" s="1"/>
  <c r="AK15" i="43"/>
  <c r="AL15" i="43" s="1"/>
  <c r="U15" i="43"/>
  <c r="DB44" i="43" s="1"/>
  <c r="CG14" i="43"/>
  <c r="AY14" i="43"/>
  <c r="AZ14" i="43" s="1"/>
  <c r="AM14" i="43"/>
  <c r="AN14" i="43" s="1"/>
  <c r="AK14" i="43"/>
  <c r="AL14" i="43" s="1"/>
  <c r="U14" i="43"/>
  <c r="DB43" i="43" s="1"/>
  <c r="CG13" i="43"/>
  <c r="AY13" i="43"/>
  <c r="AZ13" i="43" s="1"/>
  <c r="AM13" i="43"/>
  <c r="AN13" i="43" s="1"/>
  <c r="DL30" i="43" s="1"/>
  <c r="AK13" i="43"/>
  <c r="AL13" i="43" s="1"/>
  <c r="U13" i="43"/>
  <c r="DB42" i="43" s="1"/>
  <c r="CG12" i="43"/>
  <c r="AY12" i="43"/>
  <c r="AZ12" i="43" s="1"/>
  <c r="AM12" i="43"/>
  <c r="AK12" i="43"/>
  <c r="AL12" i="43" s="1"/>
  <c r="U12" i="43"/>
  <c r="DB41" i="43" s="1"/>
  <c r="CG11" i="43"/>
  <c r="AY11" i="43"/>
  <c r="AZ11" i="43" s="1"/>
  <c r="AM11" i="43"/>
  <c r="AN11" i="43" s="1"/>
  <c r="DJ30" i="43" s="1"/>
  <c r="AK11" i="43"/>
  <c r="AL11" i="43" s="1"/>
  <c r="U11" i="43"/>
  <c r="DB40" i="43" s="1"/>
  <c r="CG10" i="43"/>
  <c r="AY10" i="43"/>
  <c r="AZ10" i="43" s="1"/>
  <c r="AM10" i="43"/>
  <c r="AN10" i="43" s="1"/>
  <c r="AK10" i="43"/>
  <c r="AL10" i="43" s="1"/>
  <c r="U10" i="43"/>
  <c r="DB39" i="43" s="1"/>
  <c r="CG9" i="43"/>
  <c r="AY9" i="43"/>
  <c r="AZ9" i="43" s="1"/>
  <c r="AM9" i="43"/>
  <c r="AN9" i="43" s="1"/>
  <c r="AK9" i="43"/>
  <c r="AL9" i="43" s="1"/>
  <c r="U9" i="43"/>
  <c r="DB38" i="43" s="1"/>
  <c r="CG8" i="43"/>
  <c r="AY8" i="43"/>
  <c r="AZ8" i="43" s="1"/>
  <c r="AM8" i="43"/>
  <c r="AK8" i="43"/>
  <c r="AL8" i="43" s="1"/>
  <c r="U8" i="43"/>
  <c r="DB37" i="43" s="1"/>
  <c r="CG7" i="43"/>
  <c r="AY7" i="43"/>
  <c r="AZ7" i="43" s="1"/>
  <c r="AM7" i="43"/>
  <c r="AN7" i="43" s="1"/>
  <c r="AK7" i="43"/>
  <c r="AL7" i="43" s="1"/>
  <c r="U7" i="43"/>
  <c r="CG6" i="43"/>
  <c r="AY6" i="43"/>
  <c r="AZ6" i="43" s="1"/>
  <c r="AM6" i="43"/>
  <c r="AN6" i="43" s="1"/>
  <c r="AR6" i="43" s="1"/>
  <c r="AK6" i="43"/>
  <c r="AL6" i="43" s="1"/>
  <c r="U6" i="43"/>
  <c r="DB35" i="43" s="1"/>
  <c r="CG5" i="43"/>
  <c r="AY5" i="43"/>
  <c r="AZ5" i="43" s="1"/>
  <c r="AM5" i="43"/>
  <c r="AK5" i="43"/>
  <c r="AL5" i="43" s="1"/>
  <c r="X5" i="43"/>
  <c r="U5" i="43"/>
  <c r="DB34" i="43" s="1"/>
  <c r="CG4" i="43"/>
  <c r="X4" i="43" s="1"/>
  <c r="AY4" i="43"/>
  <c r="AZ4" i="43" s="1"/>
  <c r="AM4" i="43"/>
  <c r="AN4" i="43" s="1"/>
  <c r="AK4" i="43"/>
  <c r="AL4" i="43" s="1"/>
  <c r="U4" i="43"/>
  <c r="DB33" i="43" s="1"/>
  <c r="Y3" i="43"/>
  <c r="AO8" i="45" l="1"/>
  <c r="AJ14" i="43"/>
  <c r="AX8" i="45"/>
  <c r="BL8" i="45" s="1"/>
  <c r="BW5" i="45"/>
  <c r="BA12" i="43"/>
  <c r="BQ12" i="43" s="1"/>
  <c r="BA8" i="43"/>
  <c r="BI7" i="43"/>
  <c r="BJ7" i="43" s="1"/>
  <c r="BI6" i="43"/>
  <c r="BJ6" i="43" s="1"/>
  <c r="CW11" i="45"/>
  <c r="AJ79" i="43"/>
  <c r="CW15" i="45"/>
  <c r="CX15" i="45" s="1"/>
  <c r="AO25" i="45"/>
  <c r="BW25" i="45" s="1"/>
  <c r="CW22" i="45"/>
  <c r="CX22" i="45" s="1"/>
  <c r="CW19" i="45"/>
  <c r="CX19" i="45" s="1"/>
  <c r="CU9" i="45"/>
  <c r="CW9" i="45" s="1"/>
  <c r="CW7" i="45"/>
  <c r="CX7" i="45" s="1"/>
  <c r="CW17" i="45"/>
  <c r="CX17" i="45" s="1"/>
  <c r="CW25" i="45"/>
  <c r="CX25" i="45" s="1"/>
  <c r="CW23" i="45"/>
  <c r="CW8" i="45"/>
  <c r="CX8" i="45" s="1"/>
  <c r="CU26" i="45"/>
  <c r="CW26" i="45" s="1"/>
  <c r="DG30" i="45"/>
  <c r="AP8" i="45"/>
  <c r="CW21" i="45"/>
  <c r="CX21" i="45" s="1"/>
  <c r="CW12" i="45"/>
  <c r="CX12" i="45" s="1"/>
  <c r="AR25" i="45"/>
  <c r="AX25" i="45"/>
  <c r="BL25" i="45" s="1"/>
  <c r="AP25" i="45"/>
  <c r="CX24" i="45"/>
  <c r="AS19" i="45"/>
  <c r="BW19" i="45"/>
  <c r="C64" i="45"/>
  <c r="B65" i="45"/>
  <c r="BQ26" i="45"/>
  <c r="BQ27" i="45"/>
  <c r="DY30" i="45"/>
  <c r="CU27" i="45"/>
  <c r="CW27" i="45" s="1"/>
  <c r="AX26" i="45"/>
  <c r="BL26" i="45" s="1"/>
  <c r="AP26" i="45"/>
  <c r="AR26" i="45"/>
  <c r="BW21" i="45"/>
  <c r="AS21" i="45"/>
  <c r="BQ16" i="45"/>
  <c r="BW14" i="45"/>
  <c r="AS14" i="45"/>
  <c r="BQ13" i="45"/>
  <c r="DE33" i="45"/>
  <c r="CW14" i="45"/>
  <c r="BW9" i="45"/>
  <c r="AS9" i="45"/>
  <c r="CW5" i="45"/>
  <c r="CW10" i="45"/>
  <c r="BW8" i="45"/>
  <c r="AS8" i="45"/>
  <c r="BW11" i="45"/>
  <c r="AS11" i="45"/>
  <c r="BQ10" i="45"/>
  <c r="BW24" i="45"/>
  <c r="AS24" i="45"/>
  <c r="CW28" i="45"/>
  <c r="BQ21" i="45"/>
  <c r="CU20" i="45"/>
  <c r="CW20" i="45" s="1"/>
  <c r="AR19" i="45"/>
  <c r="DR30" i="45"/>
  <c r="AX19" i="45"/>
  <c r="BL19" i="45" s="1"/>
  <c r="AP19" i="45"/>
  <c r="BW16" i="45"/>
  <c r="AS16" i="45"/>
  <c r="BQ17" i="45"/>
  <c r="BQ15" i="45"/>
  <c r="BQ9" i="45"/>
  <c r="BQ6" i="45"/>
  <c r="BQ4" i="45"/>
  <c r="AR66" i="45"/>
  <c r="AR61" i="45"/>
  <c r="AR58" i="45"/>
  <c r="AR54" i="45"/>
  <c r="AR53" i="45"/>
  <c r="AR65" i="45"/>
  <c r="AR59" i="45"/>
  <c r="AR64" i="45"/>
  <c r="AR63" i="45"/>
  <c r="AK58" i="45"/>
  <c r="AR57" i="45"/>
  <c r="AR68" i="45"/>
  <c r="AR67" i="45"/>
  <c r="AR62" i="45"/>
  <c r="AR60" i="45"/>
  <c r="AK59" i="45"/>
  <c r="AR56" i="45"/>
  <c r="AR55" i="45"/>
  <c r="BW26" i="45"/>
  <c r="AS26" i="45"/>
  <c r="BQ24" i="45"/>
  <c r="CX23" i="45"/>
  <c r="BW18" i="45"/>
  <c r="AS18" i="45"/>
  <c r="BW13" i="45"/>
  <c r="AS13" i="45"/>
  <c r="BW12" i="45"/>
  <c r="AS12" i="45"/>
  <c r="CW18" i="45"/>
  <c r="BW22" i="45"/>
  <c r="AS22" i="45"/>
  <c r="BQ19" i="45"/>
  <c r="BQ12" i="45"/>
  <c r="BQ11" i="45"/>
  <c r="CX11" i="45"/>
  <c r="BR5" i="45"/>
  <c r="BG5" i="45"/>
  <c r="AT5" i="45"/>
  <c r="AU5" i="45" s="1"/>
  <c r="AV5" i="45" s="1"/>
  <c r="BW10" i="45"/>
  <c r="AS10" i="45"/>
  <c r="BW27" i="45"/>
  <c r="AS27" i="45"/>
  <c r="BQ25" i="45"/>
  <c r="AS23" i="45"/>
  <c r="BW23" i="45"/>
  <c r="BW20" i="45"/>
  <c r="AS20" i="45"/>
  <c r="BQ14" i="45"/>
  <c r="CW16" i="45"/>
  <c r="BW17" i="45"/>
  <c r="AS17" i="45"/>
  <c r="BW15" i="45"/>
  <c r="AS15" i="45"/>
  <c r="DK30" i="45"/>
  <c r="CU13" i="45"/>
  <c r="CW13" i="45" s="1"/>
  <c r="AR12" i="45"/>
  <c r="AX12" i="45"/>
  <c r="BL12" i="45" s="1"/>
  <c r="AP12" i="45"/>
  <c r="BW6" i="45"/>
  <c r="AS6" i="45"/>
  <c r="BW4" i="45"/>
  <c r="AS4" i="45"/>
  <c r="BW7" i="45"/>
  <c r="AS7" i="45"/>
  <c r="BQ5" i="45"/>
  <c r="CX6" i="45"/>
  <c r="BI9" i="43"/>
  <c r="BJ9" i="43" s="1"/>
  <c r="AK29" i="43"/>
  <c r="BT14" i="43" s="1"/>
  <c r="AJ6" i="43"/>
  <c r="AJ12" i="43"/>
  <c r="AJ22" i="43"/>
  <c r="AJ8" i="43"/>
  <c r="AJ10" i="43"/>
  <c r="AJ20" i="43"/>
  <c r="AJ16" i="43"/>
  <c r="AJ18" i="43"/>
  <c r="B63" i="43"/>
  <c r="AJ5" i="43"/>
  <c r="CN4" i="43"/>
  <c r="AJ11" i="43"/>
  <c r="AJ13" i="43"/>
  <c r="AJ15" i="43"/>
  <c r="AJ19" i="43"/>
  <c r="AJ21" i="43"/>
  <c r="AJ23" i="43"/>
  <c r="D34" i="38"/>
  <c r="D37" i="38"/>
  <c r="D36" i="38"/>
  <c r="D33" i="38"/>
  <c r="D38" i="38"/>
  <c r="D40" i="38"/>
  <c r="D42" i="38"/>
  <c r="D44" i="38"/>
  <c r="D46" i="38"/>
  <c r="D48" i="38"/>
  <c r="D51" i="38"/>
  <c r="D31" i="38"/>
  <c r="D35" i="38"/>
  <c r="D43" i="38"/>
  <c r="D52" i="38"/>
  <c r="D39" i="38"/>
  <c r="D41" i="38"/>
  <c r="D45" i="38"/>
  <c r="D47" i="38"/>
  <c r="D49" i="38"/>
  <c r="D32" i="38"/>
  <c r="D50" i="38"/>
  <c r="D53" i="38"/>
  <c r="BI15" i="43"/>
  <c r="BJ15" i="43" s="1"/>
  <c r="BI20" i="43"/>
  <c r="BJ20" i="43" s="1"/>
  <c r="BA7" i="43"/>
  <c r="BQ7" i="43" s="1"/>
  <c r="BI23" i="43"/>
  <c r="BJ23" i="43" s="1"/>
  <c r="BI12" i="43"/>
  <c r="BJ12" i="43" s="1"/>
  <c r="BI18" i="43"/>
  <c r="BJ18" i="43" s="1"/>
  <c r="AN8" i="43"/>
  <c r="DG30" i="43" s="1"/>
  <c r="AN5" i="43"/>
  <c r="CU6" i="43" s="1"/>
  <c r="BI8" i="43"/>
  <c r="BJ8" i="43" s="1"/>
  <c r="BI10" i="43"/>
  <c r="BJ10" i="43" s="1"/>
  <c r="BI14" i="43"/>
  <c r="BJ14" i="43" s="1"/>
  <c r="BI16" i="43"/>
  <c r="BJ16" i="43" s="1"/>
  <c r="BI19" i="43"/>
  <c r="BJ19" i="43" s="1"/>
  <c r="BI21" i="43"/>
  <c r="BJ21" i="43" s="1"/>
  <c r="BI24" i="43"/>
  <c r="BJ24" i="43" s="1"/>
  <c r="BI25" i="43"/>
  <c r="BJ25" i="43" s="1"/>
  <c r="BI13" i="43"/>
  <c r="BJ13" i="43" s="1"/>
  <c r="BI17" i="43"/>
  <c r="BJ17" i="43" s="1"/>
  <c r="BI22" i="43"/>
  <c r="BJ22" i="43" s="1"/>
  <c r="BI4" i="43"/>
  <c r="BJ4" i="43" s="1"/>
  <c r="BI5" i="43"/>
  <c r="BJ5" i="43" s="1"/>
  <c r="AR15" i="43"/>
  <c r="AR22" i="43"/>
  <c r="AR21" i="43"/>
  <c r="CU18" i="43"/>
  <c r="AO17" i="43"/>
  <c r="AS17" i="43" s="1"/>
  <c r="AR19" i="43"/>
  <c r="AR20" i="43"/>
  <c r="AO7" i="43"/>
  <c r="AS7" i="43" s="1"/>
  <c r="BG7" i="43" s="1"/>
  <c r="DI30" i="43"/>
  <c r="CU11" i="43"/>
  <c r="AX10" i="43"/>
  <c r="BL10" i="43" s="1"/>
  <c r="AR10" i="43"/>
  <c r="CV7" i="43"/>
  <c r="CV9" i="43"/>
  <c r="AO9" i="43"/>
  <c r="BA9" i="43"/>
  <c r="AP10" i="43"/>
  <c r="AO4" i="43"/>
  <c r="BA4" i="43"/>
  <c r="BD4" i="43"/>
  <c r="BE4" i="43" s="1"/>
  <c r="BF4" i="43" s="1"/>
  <c r="DF30" i="43"/>
  <c r="AR7" i="43"/>
  <c r="CU8" i="43"/>
  <c r="AX7" i="43"/>
  <c r="BL7" i="43" s="1"/>
  <c r="AP7" i="43"/>
  <c r="DH30" i="43"/>
  <c r="AX9" i="43"/>
  <c r="BL9" i="43" s="1"/>
  <c r="AP9" i="43"/>
  <c r="CU10" i="43"/>
  <c r="AR9" i="43"/>
  <c r="BA11" i="43"/>
  <c r="BA13" i="43"/>
  <c r="DM30" i="43"/>
  <c r="AX14" i="43"/>
  <c r="BL14" i="43" s="1"/>
  <c r="AR14" i="43"/>
  <c r="CU15" i="43"/>
  <c r="AP14" i="43"/>
  <c r="DC30" i="43"/>
  <c r="AX4" i="43"/>
  <c r="BL4" i="43" s="1"/>
  <c r="AP4" i="43"/>
  <c r="CU5" i="43"/>
  <c r="AR4" i="43"/>
  <c r="BA5" i="43"/>
  <c r="DB36" i="43"/>
  <c r="AJ7" i="43"/>
  <c r="CN7" i="43"/>
  <c r="BQ8" i="43"/>
  <c r="BD5" i="43"/>
  <c r="BE5" i="43" s="1"/>
  <c r="BF5" i="43" s="1"/>
  <c r="DE30" i="43"/>
  <c r="CU7" i="43"/>
  <c r="AX6" i="43"/>
  <c r="BL6" i="43" s="1"/>
  <c r="AP6" i="43"/>
  <c r="BA6" i="43"/>
  <c r="CV8" i="43"/>
  <c r="BA10" i="43"/>
  <c r="BA14" i="43"/>
  <c r="AJ4" i="43"/>
  <c r="CN5" i="43"/>
  <c r="AO6" i="43"/>
  <c r="CN6" i="43"/>
  <c r="CV6" i="43"/>
  <c r="AJ9" i="43"/>
  <c r="CV10" i="43"/>
  <c r="AO10" i="43"/>
  <c r="AR11" i="43"/>
  <c r="AX11" i="43"/>
  <c r="BL11" i="43" s="1"/>
  <c r="AN12" i="43"/>
  <c r="AO12" i="43" s="1"/>
  <c r="AP13" i="43"/>
  <c r="CV14" i="43"/>
  <c r="AO14" i="43"/>
  <c r="DO30" i="43"/>
  <c r="CU17" i="43"/>
  <c r="AX16" i="43"/>
  <c r="BL16" i="43" s="1"/>
  <c r="AP16" i="43"/>
  <c r="BA16" i="43"/>
  <c r="CV18" i="43"/>
  <c r="AO18" i="43"/>
  <c r="CV24" i="43"/>
  <c r="AO24" i="43"/>
  <c r="CV25" i="43"/>
  <c r="CV11" i="43"/>
  <c r="AO11" i="43"/>
  <c r="CN9" i="43"/>
  <c r="CV13" i="43"/>
  <c r="AO13" i="43"/>
  <c r="CU14" i="43"/>
  <c r="BA17" i="43"/>
  <c r="CV5" i="43"/>
  <c r="CG29" i="43"/>
  <c r="CN8" i="43"/>
  <c r="AP11" i="43"/>
  <c r="CV12" i="43"/>
  <c r="CU12" i="43"/>
  <c r="AR13" i="43"/>
  <c r="AX13" i="43"/>
  <c r="BL13" i="43" s="1"/>
  <c r="DN30" i="43"/>
  <c r="AX15" i="43"/>
  <c r="BL15" i="43" s="1"/>
  <c r="AP15" i="43"/>
  <c r="BA15" i="43"/>
  <c r="BA24" i="43"/>
  <c r="BD24" i="43"/>
  <c r="BE24" i="43" s="1"/>
  <c r="BF24" i="43" s="1"/>
  <c r="CN10" i="43"/>
  <c r="CN11" i="43"/>
  <c r="CN12" i="43"/>
  <c r="CN13" i="43"/>
  <c r="CN14" i="43"/>
  <c r="AO15" i="43"/>
  <c r="CN15" i="43"/>
  <c r="CV15" i="43"/>
  <c r="AO16" i="43"/>
  <c r="CN16" i="43"/>
  <c r="CV16" i="43"/>
  <c r="CW16" i="43" s="1"/>
  <c r="CV17" i="43"/>
  <c r="AX19" i="43"/>
  <c r="BL19" i="43" s="1"/>
  <c r="AP19" i="43"/>
  <c r="DR30" i="43"/>
  <c r="BA19" i="43"/>
  <c r="DT30" i="43"/>
  <c r="AX21" i="43"/>
  <c r="BL21" i="43" s="1"/>
  <c r="AP21" i="43"/>
  <c r="BA21" i="43"/>
  <c r="DV30" i="43"/>
  <c r="CU24" i="43"/>
  <c r="AX23" i="43"/>
  <c r="BL23" i="43" s="1"/>
  <c r="AP23" i="43"/>
  <c r="BA23" i="43"/>
  <c r="DW30" i="43"/>
  <c r="CU25" i="43"/>
  <c r="AX24" i="43"/>
  <c r="BL24" i="43" s="1"/>
  <c r="AP24" i="43"/>
  <c r="AR24" i="43"/>
  <c r="DQ30" i="43"/>
  <c r="AX18" i="43"/>
  <c r="BL18" i="43" s="1"/>
  <c r="CU19" i="43"/>
  <c r="DX30" i="43"/>
  <c r="CU26" i="43"/>
  <c r="AR25" i="43"/>
  <c r="AX25" i="43"/>
  <c r="BL25" i="43" s="1"/>
  <c r="AP25" i="43"/>
  <c r="DB46" i="43"/>
  <c r="AJ17" i="43"/>
  <c r="DP30" i="43"/>
  <c r="AR17" i="43"/>
  <c r="AX17" i="43"/>
  <c r="BL17" i="43" s="1"/>
  <c r="AP18" i="43"/>
  <c r="BA18" i="43"/>
  <c r="DS30" i="43"/>
  <c r="AX20" i="43"/>
  <c r="BL20" i="43" s="1"/>
  <c r="AP20" i="43"/>
  <c r="BA20" i="43"/>
  <c r="DU30" i="43"/>
  <c r="AX22" i="43"/>
  <c r="BL22" i="43" s="1"/>
  <c r="AP22" i="43"/>
  <c r="BA22" i="43"/>
  <c r="CV26" i="43"/>
  <c r="AO26" i="43"/>
  <c r="AN27" i="43"/>
  <c r="CN18" i="43"/>
  <c r="AO19" i="43"/>
  <c r="CN19" i="43"/>
  <c r="CV19" i="43"/>
  <c r="AO20" i="43"/>
  <c r="CN20" i="43"/>
  <c r="CV20" i="43"/>
  <c r="CW20" i="43" s="1"/>
  <c r="AO21" i="43"/>
  <c r="CN21" i="43"/>
  <c r="CV21" i="43"/>
  <c r="CW21" i="43" s="1"/>
  <c r="AO22" i="43"/>
  <c r="CN22" i="43"/>
  <c r="CV22" i="43"/>
  <c r="CW22" i="43" s="1"/>
  <c r="AO23" i="43"/>
  <c r="CN23" i="43"/>
  <c r="CV23" i="43"/>
  <c r="CW23" i="43" s="1"/>
  <c r="AJ24" i="43"/>
  <c r="CN24" i="43"/>
  <c r="BD27" i="43"/>
  <c r="BE27" i="43" s="1"/>
  <c r="BF27" i="43" s="1"/>
  <c r="BA27" i="43"/>
  <c r="CN28" i="43"/>
  <c r="AJ28" i="43"/>
  <c r="BA25" i="43"/>
  <c r="BD25" i="43"/>
  <c r="BE25" i="43" s="1"/>
  <c r="BF25" i="43" s="1"/>
  <c r="AO25" i="43"/>
  <c r="BA26" i="43"/>
  <c r="DB56" i="43"/>
  <c r="AJ27" i="43"/>
  <c r="CV27" i="43"/>
  <c r="CN27" i="43"/>
  <c r="AK62" i="43"/>
  <c r="AK65" i="43" s="1"/>
  <c r="AK66" i="43" s="1"/>
  <c r="AK67" i="43" s="1"/>
  <c r="BI28" i="43"/>
  <c r="BJ28" i="43" s="1"/>
  <c r="BI27" i="43"/>
  <c r="BJ27" i="43" s="1"/>
  <c r="BI26" i="43"/>
  <c r="BJ26" i="43" s="1"/>
  <c r="AJ25" i="43"/>
  <c r="CN25" i="43"/>
  <c r="DB55" i="43"/>
  <c r="AJ26" i="43"/>
  <c r="DY30" i="43"/>
  <c r="CU27" i="43"/>
  <c r="AR26" i="43"/>
  <c r="AX26" i="43"/>
  <c r="BL26" i="43" s="1"/>
  <c r="B64" i="43"/>
  <c r="C63" i="43"/>
  <c r="BT7" i="43" l="1"/>
  <c r="AT30" i="43"/>
  <c r="AT31" i="43" s="1"/>
  <c r="BT16" i="43"/>
  <c r="BT18" i="43"/>
  <c r="BT9" i="43"/>
  <c r="BT5" i="43"/>
  <c r="BT21" i="43"/>
  <c r="BT26" i="43"/>
  <c r="BT20" i="43"/>
  <c r="BT6" i="43"/>
  <c r="BT25" i="43"/>
  <c r="AT32" i="43"/>
  <c r="AT33" i="43" s="1"/>
  <c r="BT17" i="43"/>
  <c r="BT15" i="43"/>
  <c r="BT13" i="43"/>
  <c r="AK53" i="43"/>
  <c r="AK56" i="43" s="1"/>
  <c r="AK57" i="43" s="1"/>
  <c r="AR68" i="43" s="1"/>
  <c r="BT19" i="43"/>
  <c r="BT4" i="43"/>
  <c r="BT8" i="43"/>
  <c r="BT24" i="43"/>
  <c r="BT28" i="43"/>
  <c r="AX8" i="43"/>
  <c r="BL8" i="43" s="1"/>
  <c r="BT27" i="43"/>
  <c r="BT22" i="43"/>
  <c r="BT23" i="43"/>
  <c r="BT10" i="43"/>
  <c r="BT12" i="43"/>
  <c r="BT11" i="43"/>
  <c r="AS25" i="45"/>
  <c r="AT25" i="45" s="1"/>
  <c r="AU25" i="45" s="1"/>
  <c r="CX9" i="45"/>
  <c r="BB5" i="45"/>
  <c r="BK5" i="45" s="1"/>
  <c r="AA5" i="45"/>
  <c r="BG4" i="45"/>
  <c r="BR4" i="45"/>
  <c r="AT4" i="45"/>
  <c r="AU4" i="45" s="1"/>
  <c r="CX26" i="45"/>
  <c r="AT22" i="45"/>
  <c r="AU22" i="45" s="1"/>
  <c r="BG22" i="45"/>
  <c r="BR22" i="45"/>
  <c r="BR26" i="45"/>
  <c r="BG26" i="45"/>
  <c r="AT26" i="45"/>
  <c r="AU26" i="45" s="1"/>
  <c r="BG24" i="45"/>
  <c r="BR24" i="45"/>
  <c r="AT24" i="45"/>
  <c r="AU24" i="45" s="1"/>
  <c r="BG8" i="45"/>
  <c r="AT8" i="45"/>
  <c r="AU8" i="45" s="1"/>
  <c r="BR8" i="45"/>
  <c r="AT21" i="45"/>
  <c r="AU21" i="45" s="1"/>
  <c r="BR21" i="45"/>
  <c r="BG21" i="45"/>
  <c r="BR15" i="45"/>
  <c r="BG15" i="45"/>
  <c r="AT15" i="45"/>
  <c r="AU15" i="45" s="1"/>
  <c r="CX16" i="45"/>
  <c r="BR27" i="45"/>
  <c r="BG27" i="45"/>
  <c r="AT27" i="45"/>
  <c r="AU27" i="45" s="1"/>
  <c r="BR13" i="45"/>
  <c r="BG13" i="45"/>
  <c r="AT13" i="45"/>
  <c r="AU13" i="45" s="1"/>
  <c r="AT18" i="45"/>
  <c r="AU18" i="45" s="1"/>
  <c r="BR18" i="45"/>
  <c r="BG18" i="45"/>
  <c r="BG25" i="45"/>
  <c r="BR16" i="45"/>
  <c r="BG16" i="45"/>
  <c r="AT16" i="45"/>
  <c r="AU16" i="45" s="1"/>
  <c r="BG9" i="45"/>
  <c r="AT9" i="45"/>
  <c r="AU9" i="45" s="1"/>
  <c r="AV9" i="45" s="1"/>
  <c r="BR9" i="45"/>
  <c r="BR14" i="45"/>
  <c r="BG14" i="45"/>
  <c r="AT14" i="45"/>
  <c r="AU14" i="45" s="1"/>
  <c r="CX27" i="45"/>
  <c r="BR6" i="45"/>
  <c r="BG6" i="45"/>
  <c r="AT6" i="45"/>
  <c r="AU6" i="45" s="1"/>
  <c r="AT23" i="45"/>
  <c r="AU23" i="45" s="1"/>
  <c r="BG23" i="45"/>
  <c r="BR23" i="45"/>
  <c r="CX18" i="45"/>
  <c r="BR11" i="45"/>
  <c r="BG11" i="45"/>
  <c r="AT11" i="45"/>
  <c r="AU11" i="45" s="1"/>
  <c r="CX10" i="45"/>
  <c r="BG19" i="45"/>
  <c r="AT19" i="45"/>
  <c r="AU19" i="45" s="1"/>
  <c r="BR19" i="45"/>
  <c r="AT7" i="45"/>
  <c r="AU7" i="45" s="1"/>
  <c r="BR7" i="45"/>
  <c r="BG7" i="45"/>
  <c r="CX13" i="45"/>
  <c r="BR17" i="45"/>
  <c r="BG17" i="45"/>
  <c r="AT17" i="45"/>
  <c r="AU17" i="45" s="1"/>
  <c r="AT20" i="45"/>
  <c r="AU20" i="45" s="1"/>
  <c r="BR20" i="45"/>
  <c r="BG20" i="45"/>
  <c r="BG10" i="45"/>
  <c r="AT10" i="45"/>
  <c r="AU10" i="45" s="1"/>
  <c r="BR10" i="45"/>
  <c r="BR12" i="45"/>
  <c r="BG12" i="45"/>
  <c r="AT12" i="45"/>
  <c r="AU12" i="45" s="1"/>
  <c r="CX20" i="45"/>
  <c r="CX28" i="45"/>
  <c r="CX5" i="45"/>
  <c r="CX14" i="45"/>
  <c r="DF33" i="45"/>
  <c r="B66" i="45"/>
  <c r="C65" i="45"/>
  <c r="AO8" i="43"/>
  <c r="BW8" i="43" s="1"/>
  <c r="AO5" i="43"/>
  <c r="BW5" i="43" s="1"/>
  <c r="AR8" i="43"/>
  <c r="CU9" i="43"/>
  <c r="CW9" i="43" s="1"/>
  <c r="CX9" i="43" s="1"/>
  <c r="AP5" i="43"/>
  <c r="CW18" i="43"/>
  <c r="CX18" i="43" s="1"/>
  <c r="CW6" i="43"/>
  <c r="CX6" i="43" s="1"/>
  <c r="AP8" i="43"/>
  <c r="CW7" i="43"/>
  <c r="CX7" i="43" s="1"/>
  <c r="BW17" i="43"/>
  <c r="AR5" i="43"/>
  <c r="AX5" i="43"/>
  <c r="BL5" i="43" s="1"/>
  <c r="BW7" i="43"/>
  <c r="DD30" i="43"/>
  <c r="CW27" i="43"/>
  <c r="CX27" i="43" s="1"/>
  <c r="BR7" i="43"/>
  <c r="AT7" i="43"/>
  <c r="AU7" i="43" s="1"/>
  <c r="AV7" i="43" s="1"/>
  <c r="BB7" i="43" s="1"/>
  <c r="BK7" i="43" s="1"/>
  <c r="CW26" i="43"/>
  <c r="CX26" i="43" s="1"/>
  <c r="CW25" i="43"/>
  <c r="CX25" i="43" s="1"/>
  <c r="CW14" i="43"/>
  <c r="CX14" i="43" s="1"/>
  <c r="CX16" i="43"/>
  <c r="CX22" i="43"/>
  <c r="CX23" i="43"/>
  <c r="CX20" i="43"/>
  <c r="BW21" i="43"/>
  <c r="AS21" i="43"/>
  <c r="BQ22" i="43"/>
  <c r="BQ18" i="43"/>
  <c r="BQ23" i="43"/>
  <c r="CW24" i="43"/>
  <c r="CW12" i="43"/>
  <c r="BW11" i="43"/>
  <c r="AS11" i="43"/>
  <c r="BQ16" i="43"/>
  <c r="CW17" i="43"/>
  <c r="DK30" i="43"/>
  <c r="CU13" i="43"/>
  <c r="CW13" i="43" s="1"/>
  <c r="AP12" i="43"/>
  <c r="AR12" i="43"/>
  <c r="AX12" i="43"/>
  <c r="BL12" i="43" s="1"/>
  <c r="BW10" i="43"/>
  <c r="AS10" i="43"/>
  <c r="BQ5" i="43"/>
  <c r="CW5" i="43"/>
  <c r="BQ13" i="43"/>
  <c r="BQ11" i="43"/>
  <c r="CW8" i="43"/>
  <c r="BQ9" i="43"/>
  <c r="CW11" i="43"/>
  <c r="BW22" i="43"/>
  <c r="AS22" i="43"/>
  <c r="BQ19" i="43"/>
  <c r="BQ24" i="43"/>
  <c r="BQ15" i="43"/>
  <c r="BQ17" i="43"/>
  <c r="CX21" i="43"/>
  <c r="BW13" i="43"/>
  <c r="AS13" i="43"/>
  <c r="BW18" i="43"/>
  <c r="AS18" i="43"/>
  <c r="BQ10" i="43"/>
  <c r="BQ6" i="43"/>
  <c r="BW9" i="43"/>
  <c r="AS9" i="43"/>
  <c r="BW25" i="43"/>
  <c r="AS25" i="43"/>
  <c r="BQ25" i="43"/>
  <c r="AR27" i="43"/>
  <c r="DZ30" i="43"/>
  <c r="CU28" i="43"/>
  <c r="AP27" i="43"/>
  <c r="AO27" i="43"/>
  <c r="AX27" i="43"/>
  <c r="BL27" i="43" s="1"/>
  <c r="B65" i="43"/>
  <c r="C64" i="43"/>
  <c r="BW23" i="43"/>
  <c r="AS23" i="43"/>
  <c r="BW19" i="43"/>
  <c r="AS19" i="43"/>
  <c r="AS26" i="43"/>
  <c r="BW26" i="43"/>
  <c r="BQ20" i="43"/>
  <c r="BW15" i="43"/>
  <c r="AS15" i="43"/>
  <c r="BW12" i="43"/>
  <c r="AS12" i="43"/>
  <c r="BQ14" i="43"/>
  <c r="CW15" i="43"/>
  <c r="BQ4" i="43"/>
  <c r="BQ26" i="43"/>
  <c r="BQ27" i="43"/>
  <c r="BW20" i="43"/>
  <c r="AS20" i="43"/>
  <c r="CW19" i="43"/>
  <c r="BQ21" i="43"/>
  <c r="BW16" i="43"/>
  <c r="AS16" i="43"/>
  <c r="BR17" i="43"/>
  <c r="BG17" i="43"/>
  <c r="AT17" i="43"/>
  <c r="AU17" i="43" s="1"/>
  <c r="AS24" i="43"/>
  <c r="BW24" i="43"/>
  <c r="BW14" i="43"/>
  <c r="AS14" i="43"/>
  <c r="BW6" i="43"/>
  <c r="AS6" i="43"/>
  <c r="AS8" i="43"/>
  <c r="CW10" i="43"/>
  <c r="BW4" i="43"/>
  <c r="AS4" i="43"/>
  <c r="BR25" i="45" l="1"/>
  <c r="AR54" i="43"/>
  <c r="AR60" i="43"/>
  <c r="AR55" i="43"/>
  <c r="AR63" i="43"/>
  <c r="AR64" i="43"/>
  <c r="AR53" i="43"/>
  <c r="AK58" i="43"/>
  <c r="AR62" i="43"/>
  <c r="AR59" i="43"/>
  <c r="AR57" i="43"/>
  <c r="AR61" i="43"/>
  <c r="AR56" i="43"/>
  <c r="AR67" i="43"/>
  <c r="AR65" i="43"/>
  <c r="AR58" i="43"/>
  <c r="AR66" i="43"/>
  <c r="AK59" i="43"/>
  <c r="AV7" i="45"/>
  <c r="AV6" i="45"/>
  <c r="BB9" i="45"/>
  <c r="BK9" i="45" s="1"/>
  <c r="AV26" i="45"/>
  <c r="BB26" i="45" s="1"/>
  <c r="BK26" i="45" s="1"/>
  <c r="AV27" i="45"/>
  <c r="BB27" i="45" s="1"/>
  <c r="BK27" i="45" s="1"/>
  <c r="AV8" i="45"/>
  <c r="BB8" i="45" s="1"/>
  <c r="BK8" i="45" s="1"/>
  <c r="CO4" i="45"/>
  <c r="CP4" i="45" s="1"/>
  <c r="CQ4" i="45" s="1"/>
  <c r="Y4" i="45" s="1"/>
  <c r="AV4" i="45"/>
  <c r="AA4" i="45"/>
  <c r="AV25" i="45"/>
  <c r="BB25" i="45" s="1"/>
  <c r="BK25" i="45" s="1"/>
  <c r="AV24" i="45"/>
  <c r="BB24" i="45" s="1"/>
  <c r="AV11" i="45"/>
  <c r="BB11" i="45" s="1"/>
  <c r="BK11" i="45" s="1"/>
  <c r="AV15" i="45"/>
  <c r="BB15" i="45" s="1"/>
  <c r="BK15" i="45" s="1"/>
  <c r="AV19" i="45"/>
  <c r="BB19" i="45" s="1"/>
  <c r="BK19" i="45" s="1"/>
  <c r="AV12" i="45"/>
  <c r="BB12" i="45" s="1"/>
  <c r="BK12" i="45" s="1"/>
  <c r="AV16" i="45"/>
  <c r="BB16" i="45" s="1"/>
  <c r="BK16" i="45" s="1"/>
  <c r="AV22" i="45"/>
  <c r="BB22" i="45" s="1"/>
  <c r="BK22" i="45" s="1"/>
  <c r="AV10" i="45"/>
  <c r="AV13" i="45"/>
  <c r="BB13" i="45" s="1"/>
  <c r="DG33" i="45"/>
  <c r="AV20" i="45"/>
  <c r="BB20" i="45" s="1"/>
  <c r="BK20" i="45" s="1"/>
  <c r="AV14" i="45"/>
  <c r="BB14" i="45" s="1"/>
  <c r="BK14" i="45" s="1"/>
  <c r="AV18" i="45"/>
  <c r="BB18" i="45" s="1"/>
  <c r="BK18" i="45" s="1"/>
  <c r="B67" i="45"/>
  <c r="C66" i="45"/>
  <c r="AV17" i="45"/>
  <c r="BB17" i="45" s="1"/>
  <c r="BK17" i="45" s="1"/>
  <c r="AV23" i="45"/>
  <c r="BB23" i="45" s="1"/>
  <c r="BK23" i="45" s="1"/>
  <c r="AV21" i="45"/>
  <c r="BB21" i="45" s="1"/>
  <c r="BK21" i="45" s="1"/>
  <c r="AS5" i="43"/>
  <c r="BR5" i="43" s="1"/>
  <c r="BG6" i="43"/>
  <c r="AT6" i="43"/>
  <c r="AU6" i="43" s="1"/>
  <c r="AV6" i="43" s="1"/>
  <c r="BB6" i="43" s="1"/>
  <c r="BR6" i="43"/>
  <c r="CX19" i="43"/>
  <c r="CX15" i="43"/>
  <c r="BR12" i="43"/>
  <c r="BG12" i="43"/>
  <c r="AT12" i="43"/>
  <c r="AU12" i="43" s="1"/>
  <c r="AS27" i="43"/>
  <c r="BW27" i="43"/>
  <c r="BR25" i="43"/>
  <c r="AT25" i="43"/>
  <c r="AU25" i="43" s="1"/>
  <c r="BG25" i="43"/>
  <c r="BG18" i="43"/>
  <c r="AT18" i="43"/>
  <c r="AU18" i="43" s="1"/>
  <c r="BR18" i="43"/>
  <c r="CX17" i="43"/>
  <c r="BR11" i="43"/>
  <c r="BG11" i="43"/>
  <c r="AT11" i="43"/>
  <c r="AU11" i="43" s="1"/>
  <c r="CX12" i="43"/>
  <c r="AT24" i="43"/>
  <c r="AU24" i="43" s="1"/>
  <c r="BR24" i="43"/>
  <c r="BG24" i="43"/>
  <c r="BG23" i="43"/>
  <c r="AT23" i="43"/>
  <c r="AU23" i="43" s="1"/>
  <c r="BR23" i="43"/>
  <c r="CX5" i="43"/>
  <c r="BR10" i="43"/>
  <c r="AT10" i="43"/>
  <c r="AU10" i="43" s="1"/>
  <c r="BG10" i="43"/>
  <c r="CX24" i="43"/>
  <c r="BG21" i="43"/>
  <c r="AT21" i="43"/>
  <c r="AU21" i="43" s="1"/>
  <c r="BR21" i="43"/>
  <c r="CX10" i="43"/>
  <c r="BG14" i="43"/>
  <c r="BR14" i="43"/>
  <c r="AT14" i="43"/>
  <c r="AU14" i="43" s="1"/>
  <c r="BG15" i="43"/>
  <c r="AT15" i="43"/>
  <c r="AU15" i="43" s="1"/>
  <c r="BR15" i="43"/>
  <c r="BG26" i="43"/>
  <c r="BR26" i="43"/>
  <c r="AT26" i="43"/>
  <c r="AU26" i="43" s="1"/>
  <c r="B66" i="43"/>
  <c r="C65" i="43"/>
  <c r="AT9" i="43"/>
  <c r="AU9" i="43" s="1"/>
  <c r="BR9" i="43"/>
  <c r="BG9" i="43"/>
  <c r="BR13" i="43"/>
  <c r="AT13" i="43"/>
  <c r="AU13" i="43" s="1"/>
  <c r="BG13" i="43"/>
  <c r="BG22" i="43"/>
  <c r="AT22" i="43"/>
  <c r="AU22" i="43" s="1"/>
  <c r="BR22" i="43"/>
  <c r="CX11" i="43"/>
  <c r="CX8" i="43"/>
  <c r="CX13" i="43"/>
  <c r="BR8" i="43"/>
  <c r="BG8" i="43"/>
  <c r="AT8" i="43"/>
  <c r="AU8" i="43" s="1"/>
  <c r="AV17" i="43"/>
  <c r="BB17" i="43" s="1"/>
  <c r="BK17" i="43" s="1"/>
  <c r="AT4" i="43"/>
  <c r="AU4" i="43" s="1"/>
  <c r="BR4" i="43"/>
  <c r="BG4" i="43"/>
  <c r="BG16" i="43"/>
  <c r="AT16" i="43"/>
  <c r="AU16" i="43" s="1"/>
  <c r="BR16" i="43"/>
  <c r="BG20" i="43"/>
  <c r="AT20" i="43"/>
  <c r="AU20" i="43" s="1"/>
  <c r="BR20" i="43"/>
  <c r="BG19" i="43"/>
  <c r="AT19" i="43"/>
  <c r="AU19" i="43" s="1"/>
  <c r="BR19" i="43"/>
  <c r="AW4" i="45" l="1"/>
  <c r="BB4" i="45"/>
  <c r="BB7" i="45"/>
  <c r="BK7" i="45" s="1"/>
  <c r="BB6" i="45"/>
  <c r="BK6" i="45" s="1"/>
  <c r="DH33" i="45"/>
  <c r="BB10" i="45"/>
  <c r="B68" i="45"/>
  <c r="C67" i="45"/>
  <c r="BK13" i="45"/>
  <c r="BK24" i="45"/>
  <c r="BG5" i="43"/>
  <c r="AT5" i="43"/>
  <c r="AU5" i="43" s="1"/>
  <c r="AA5" i="43" s="1"/>
  <c r="AV4" i="43"/>
  <c r="BB4" i="43" s="1"/>
  <c r="BK4" i="43" s="1"/>
  <c r="AA4" i="43"/>
  <c r="AV25" i="43"/>
  <c r="BB25" i="43" s="1"/>
  <c r="BK25" i="43" s="1"/>
  <c r="AV26" i="43"/>
  <c r="BB26" i="43" s="1"/>
  <c r="BK26" i="43" s="1"/>
  <c r="BK6" i="43"/>
  <c r="AV8" i="43"/>
  <c r="BB8" i="43" s="1"/>
  <c r="BK8" i="43" s="1"/>
  <c r="AV9" i="43"/>
  <c r="BB9" i="43" s="1"/>
  <c r="BK9" i="43" s="1"/>
  <c r="AV22" i="43"/>
  <c r="BB22" i="43" s="1"/>
  <c r="BK22" i="43" s="1"/>
  <c r="AV15" i="43"/>
  <c r="BB15" i="43" s="1"/>
  <c r="BK15" i="43" s="1"/>
  <c r="AV21" i="43"/>
  <c r="BB21" i="43" s="1"/>
  <c r="BK21" i="43" s="1"/>
  <c r="AV11" i="43"/>
  <c r="BB11" i="43" s="1"/>
  <c r="BK11" i="43" s="1"/>
  <c r="AV13" i="43"/>
  <c r="BB13" i="43" s="1"/>
  <c r="BK13" i="43" s="1"/>
  <c r="AV12" i="43"/>
  <c r="BB12" i="43" s="1"/>
  <c r="BK12" i="43" s="1"/>
  <c r="AV19" i="43"/>
  <c r="BB19" i="43" s="1"/>
  <c r="BK19" i="43" s="1"/>
  <c r="AV20" i="43"/>
  <c r="BB20" i="43" s="1"/>
  <c r="BK20" i="43" s="1"/>
  <c r="AV16" i="43"/>
  <c r="BB16" i="43" s="1"/>
  <c r="BK16" i="43" s="1"/>
  <c r="AV14" i="43"/>
  <c r="BB14" i="43" s="1"/>
  <c r="BK14" i="43" s="1"/>
  <c r="AV10" i="43"/>
  <c r="BB10" i="43" s="1"/>
  <c r="BK10" i="43" s="1"/>
  <c r="AV23" i="43"/>
  <c r="BB23" i="43" s="1"/>
  <c r="BK23" i="43" s="1"/>
  <c r="AV24" i="43"/>
  <c r="BB24" i="43" s="1"/>
  <c r="BK24" i="43" s="1"/>
  <c r="AV18" i="43"/>
  <c r="BB18" i="43" s="1"/>
  <c r="BK18" i="43" s="1"/>
  <c r="BG27" i="43"/>
  <c r="BR27" i="43"/>
  <c r="AT27" i="43"/>
  <c r="AU27" i="43" s="1"/>
  <c r="B67" i="43"/>
  <c r="C66" i="43"/>
  <c r="BK4" i="45" l="1"/>
  <c r="BV4" i="45" s="1"/>
  <c r="BC4" i="45"/>
  <c r="BM4" i="45" s="1"/>
  <c r="BN4" i="45" s="1"/>
  <c r="BK10" i="45"/>
  <c r="DH57" i="45"/>
  <c r="DC9" i="45" s="1"/>
  <c r="DI33" i="45"/>
  <c r="C68" i="45"/>
  <c r="B69" i="45"/>
  <c r="AV5" i="43"/>
  <c r="BB5" i="43" s="1"/>
  <c r="BK5" i="43" s="1"/>
  <c r="AV27" i="43"/>
  <c r="BB27" i="43" s="1"/>
  <c r="BK27" i="43" s="1"/>
  <c r="C67" i="43"/>
  <c r="B68" i="43"/>
  <c r="BO4" i="45" l="1"/>
  <c r="BX4" i="45"/>
  <c r="CC4" i="45"/>
  <c r="CD4" i="45" s="1"/>
  <c r="CF4" i="45" s="1"/>
  <c r="CJ4" i="45" s="1"/>
  <c r="CK4" i="45" s="1"/>
  <c r="B70" i="45"/>
  <c r="C69" i="45"/>
  <c r="DJ33" i="45"/>
  <c r="C68" i="43"/>
  <c r="B69" i="43"/>
  <c r="CR6" i="45" l="1"/>
  <c r="AQ4" i="45"/>
  <c r="CE4" i="45"/>
  <c r="BP4" i="45"/>
  <c r="CL4" i="45"/>
  <c r="DK33" i="45"/>
  <c r="B71" i="45"/>
  <c r="C70" i="45"/>
  <c r="B70" i="43"/>
  <c r="C69" i="43"/>
  <c r="CM4" i="45" l="1"/>
  <c r="W4" i="45" s="1"/>
  <c r="BZ5" i="45"/>
  <c r="V5" i="45" s="1"/>
  <c r="DL33" i="45"/>
  <c r="C71" i="45"/>
  <c r="B72" i="45"/>
  <c r="B71" i="43"/>
  <c r="C70" i="43"/>
  <c r="CA5" i="45" l="1"/>
  <c r="CB5" i="45" s="1"/>
  <c r="CO5" i="45"/>
  <c r="BU5" i="45"/>
  <c r="BV5" i="45" s="1"/>
  <c r="BX5" i="45" s="1"/>
  <c r="AW5" i="45"/>
  <c r="B73" i="45"/>
  <c r="C72" i="45"/>
  <c r="DM33" i="45"/>
  <c r="C71" i="43"/>
  <c r="B72" i="43"/>
  <c r="CP5" i="45" l="1"/>
  <c r="CC5" i="45"/>
  <c r="BC5" i="45"/>
  <c r="BM5" i="45" s="1"/>
  <c r="BN5" i="45" s="1"/>
  <c r="B74" i="45"/>
  <c r="C73" i="45"/>
  <c r="DN33" i="45"/>
  <c r="B73" i="43"/>
  <c r="C72" i="43"/>
  <c r="CQ5" i="45" l="1"/>
  <c r="Y5" i="45" s="1"/>
  <c r="CY5" i="45"/>
  <c r="CZ5" i="45" s="1"/>
  <c r="CH5" i="45" s="1"/>
  <c r="CI5" i="45" s="1"/>
  <c r="BO5" i="45"/>
  <c r="BP5" i="45" s="1"/>
  <c r="DB5" i="45"/>
  <c r="DD34" i="45" s="1"/>
  <c r="CD5" i="45"/>
  <c r="DO33" i="45"/>
  <c r="C74" i="45"/>
  <c r="B75" i="45"/>
  <c r="B74" i="43"/>
  <c r="C73" i="43"/>
  <c r="AQ5" i="45" l="1"/>
  <c r="Z5" i="45"/>
  <c r="CR7" i="45"/>
  <c r="CF5" i="45"/>
  <c r="CJ5" i="45" s="1"/>
  <c r="CK5" i="45" s="1"/>
  <c r="CL5" i="45" s="1"/>
  <c r="DE34" i="45"/>
  <c r="DD58" i="45"/>
  <c r="DD59" i="45" s="1"/>
  <c r="DD6" i="45" s="1"/>
  <c r="B76" i="45"/>
  <c r="C75" i="45"/>
  <c r="DP33" i="45"/>
  <c r="C74" i="43"/>
  <c r="B75" i="43"/>
  <c r="CE5" i="45" l="1"/>
  <c r="DF34" i="45"/>
  <c r="CM5" i="45"/>
  <c r="W5" i="45" s="1"/>
  <c r="BZ6" i="45"/>
  <c r="DQ33" i="45"/>
  <c r="C76" i="45"/>
  <c r="B77" i="45"/>
  <c r="B76" i="43"/>
  <c r="C75" i="43"/>
  <c r="CA6" i="45" l="1"/>
  <c r="CB6" i="45" s="1"/>
  <c r="BU6" i="45"/>
  <c r="BV6" i="45" s="1"/>
  <c r="BX6" i="45" s="1"/>
  <c r="CO6" i="45"/>
  <c r="AW6" i="45"/>
  <c r="DG34" i="45"/>
  <c r="C77" i="45"/>
  <c r="B78" i="45"/>
  <c r="DR33" i="45"/>
  <c r="C76" i="43"/>
  <c r="B77" i="43"/>
  <c r="CP6" i="45" l="1"/>
  <c r="DH34" i="45"/>
  <c r="BC6" i="45"/>
  <c r="BM6" i="45" s="1"/>
  <c r="BN6" i="45" s="1"/>
  <c r="CC6" i="45"/>
  <c r="B79" i="45"/>
  <c r="C78" i="45"/>
  <c r="DS33" i="45"/>
  <c r="C77" i="43"/>
  <c r="B78" i="43"/>
  <c r="CS6" i="45" l="1"/>
  <c r="CY6" i="45"/>
  <c r="CZ6" i="45" s="1"/>
  <c r="CH6" i="45" s="1"/>
  <c r="CI6" i="45" s="1"/>
  <c r="CQ6" i="45"/>
  <c r="DB6" i="45"/>
  <c r="DE35" i="45" s="1"/>
  <c r="CD6" i="45"/>
  <c r="DI34" i="45"/>
  <c r="BO6" i="45"/>
  <c r="B80" i="45"/>
  <c r="C79" i="45"/>
  <c r="DT33" i="45"/>
  <c r="B79" i="43"/>
  <c r="C78" i="43"/>
  <c r="AQ6" i="45" l="1"/>
  <c r="CR8" i="45"/>
  <c r="DF35" i="45"/>
  <c r="DE58" i="45"/>
  <c r="DE59" i="45" s="1"/>
  <c r="DD7" i="45" s="1"/>
  <c r="CS7" i="45"/>
  <c r="CT6" i="45"/>
  <c r="V6" i="45" s="1"/>
  <c r="DJ34" i="45"/>
  <c r="DI57" i="45"/>
  <c r="DC10" i="45" s="1"/>
  <c r="BP6" i="45"/>
  <c r="CF6" i="45"/>
  <c r="CJ6" i="45" s="1"/>
  <c r="CK6" i="45" s="1"/>
  <c r="CL6" i="45" s="1"/>
  <c r="DU33" i="45"/>
  <c r="B81" i="45"/>
  <c r="C80" i="45"/>
  <c r="B80" i="43"/>
  <c r="C79" i="43"/>
  <c r="DG35" i="45" l="1"/>
  <c r="Z6" i="45"/>
  <c r="Y6" i="45"/>
  <c r="AA6" i="45"/>
  <c r="X6" i="45"/>
  <c r="CE6" i="45"/>
  <c r="CS8" i="45"/>
  <c r="CS9" i="45" s="1"/>
  <c r="CS10" i="45" s="1"/>
  <c r="CS11" i="45" s="1"/>
  <c r="CS12" i="45" s="1"/>
  <c r="CS13" i="45" s="1"/>
  <c r="CS14" i="45" s="1"/>
  <c r="CS15" i="45" s="1"/>
  <c r="CS16" i="45" s="1"/>
  <c r="CS17" i="45" s="1"/>
  <c r="CS18" i="45" s="1"/>
  <c r="CS19" i="45" s="1"/>
  <c r="CS20" i="45" s="1"/>
  <c r="CS21" i="45" s="1"/>
  <c r="CS22" i="45" s="1"/>
  <c r="CS23" i="45" s="1"/>
  <c r="CT7" i="45"/>
  <c r="CM6" i="45"/>
  <c r="W6" i="45" s="1"/>
  <c r="BZ7" i="45"/>
  <c r="DK34" i="45"/>
  <c r="DV33" i="45"/>
  <c r="B82" i="45"/>
  <c r="C81" i="45"/>
  <c r="B81" i="43"/>
  <c r="C80" i="43"/>
  <c r="V7" i="45" l="1"/>
  <c r="AA7" i="45"/>
  <c r="X7" i="45"/>
  <c r="CT8" i="45"/>
  <c r="DH35" i="45"/>
  <c r="DL34" i="45"/>
  <c r="CA7" i="45"/>
  <c r="CB7" i="45" s="1"/>
  <c r="CO7" i="45"/>
  <c r="BU7" i="45"/>
  <c r="BV7" i="45" s="1"/>
  <c r="BX7" i="45" s="1"/>
  <c r="AW7" i="45"/>
  <c r="BC7" i="45" s="1"/>
  <c r="BM7" i="45" s="1"/>
  <c r="BN7" i="45" s="1"/>
  <c r="B83" i="45"/>
  <c r="C83" i="45" s="1"/>
  <c r="C82" i="45"/>
  <c r="DW33" i="45"/>
  <c r="B82" i="43"/>
  <c r="C81" i="43"/>
  <c r="DI35" i="45" l="1"/>
  <c r="AA8" i="45"/>
  <c r="X8" i="45"/>
  <c r="CP7" i="45"/>
  <c r="CC7" i="45"/>
  <c r="DB7" i="45" s="1"/>
  <c r="DF36" i="45" s="1"/>
  <c r="DM34" i="45"/>
  <c r="BO7" i="45"/>
  <c r="DX33" i="45"/>
  <c r="B83" i="43"/>
  <c r="C83" i="43" s="1"/>
  <c r="C82" i="43"/>
  <c r="CD7" i="45" l="1"/>
  <c r="CF7" i="45" s="1"/>
  <c r="AQ7" i="45"/>
  <c r="CR9" i="45"/>
  <c r="Z7" i="45"/>
  <c r="DG36" i="45"/>
  <c r="DF58" i="45"/>
  <c r="DF59" i="45" s="1"/>
  <c r="DD8" i="45" s="1"/>
  <c r="CQ7" i="45"/>
  <c r="Y7" i="45" s="1"/>
  <c r="CY7" i="45"/>
  <c r="CZ7" i="45" s="1"/>
  <c r="CH7" i="45" s="1"/>
  <c r="CI7" i="45" s="1"/>
  <c r="DJ35" i="45"/>
  <c r="DN34" i="45"/>
  <c r="BP7" i="45"/>
  <c r="DY33" i="45"/>
  <c r="L32" i="2"/>
  <c r="L33" i="2"/>
  <c r="L34" i="2"/>
  <c r="L35" i="2"/>
  <c r="L36" i="2"/>
  <c r="L37" i="2"/>
  <c r="L38" i="2"/>
  <c r="L39" i="2"/>
  <c r="L40" i="2"/>
  <c r="L41" i="2"/>
  <c r="L42" i="2"/>
  <c r="L43" i="2"/>
  <c r="L44" i="2"/>
  <c r="L45" i="2"/>
  <c r="L46" i="2"/>
  <c r="L47" i="2"/>
  <c r="L48" i="2"/>
  <c r="L49" i="2"/>
  <c r="L50" i="2"/>
  <c r="L51" i="2"/>
  <c r="L52" i="2"/>
  <c r="L53" i="2"/>
  <c r="L54" i="2"/>
  <c r="L55" i="2"/>
  <c r="CJ7" i="45" l="1"/>
  <c r="CK7" i="45" s="1"/>
  <c r="CL7" i="45" s="1"/>
  <c r="CM7" i="45" s="1"/>
  <c r="W7" i="45" s="1"/>
  <c r="CE7" i="45"/>
  <c r="CT9" i="45"/>
  <c r="DK35" i="45"/>
  <c r="DJ57" i="45"/>
  <c r="DC11" i="45" s="1"/>
  <c r="DH36" i="45"/>
  <c r="DO34" i="45"/>
  <c r="DZ33" i="45"/>
  <c r="H139" i="2"/>
  <c r="L139" i="2" s="1"/>
  <c r="J139" i="2"/>
  <c r="K139" i="2"/>
  <c r="F139" i="2"/>
  <c r="M139" i="2" s="1"/>
  <c r="BZ8" i="45" l="1"/>
  <c r="V8" i="45" s="1"/>
  <c r="DI36" i="45"/>
  <c r="X9" i="45"/>
  <c r="AA9" i="45"/>
  <c r="DL35" i="45"/>
  <c r="DP34" i="45"/>
  <c r="AK29" i="2"/>
  <c r="AD7" i="2"/>
  <c r="CA8" i="45" l="1"/>
  <c r="CB8" i="45" s="1"/>
  <c r="BU8" i="45"/>
  <c r="BV8" i="45" s="1"/>
  <c r="BX8" i="45" s="1"/>
  <c r="AW8" i="45"/>
  <c r="BC8" i="45" s="1"/>
  <c r="BM8" i="45" s="1"/>
  <c r="BN8" i="45" s="1"/>
  <c r="BO8" i="45" s="1"/>
  <c r="Z8" i="45" s="1"/>
  <c r="CO8" i="45"/>
  <c r="CP8" i="45" s="1"/>
  <c r="CY8" i="45" s="1"/>
  <c r="CZ8" i="45" s="1"/>
  <c r="CH8" i="45" s="1"/>
  <c r="CI8" i="45" s="1"/>
  <c r="DM35" i="45"/>
  <c r="DJ36" i="45"/>
  <c r="DQ34" i="45"/>
  <c r="DR34" i="45" s="1"/>
  <c r="DS34" i="45" s="1"/>
  <c r="DT34" i="45" s="1"/>
  <c r="DU34" i="45" s="1"/>
  <c r="DV34" i="45" s="1"/>
  <c r="DW34" i="45" s="1"/>
  <c r="DX34" i="45" s="1"/>
  <c r="AD23" i="2"/>
  <c r="AD19" i="2"/>
  <c r="AD22" i="2"/>
  <c r="AD18" i="2"/>
  <c r="AD21" i="2"/>
  <c r="AD17" i="2"/>
  <c r="AD24" i="2"/>
  <c r="AD20" i="2"/>
  <c r="AD16" i="2"/>
  <c r="AD26" i="2"/>
  <c r="AD14" i="2"/>
  <c r="AD10" i="2"/>
  <c r="AD6" i="2"/>
  <c r="AD5" i="2"/>
  <c r="AD25" i="2"/>
  <c r="AD9" i="2"/>
  <c r="AD4" i="2"/>
  <c r="AD12" i="2"/>
  <c r="AD8" i="2"/>
  <c r="AD13" i="2"/>
  <c r="AD27" i="2"/>
  <c r="AD15" i="2"/>
  <c r="AD11" i="2"/>
  <c r="CQ8" i="45" l="1"/>
  <c r="Y8" i="45" s="1"/>
  <c r="CC8" i="45"/>
  <c r="BP8" i="45"/>
  <c r="AQ8" i="45"/>
  <c r="CR10" i="45"/>
  <c r="CT10" i="45" s="1"/>
  <c r="DK36" i="45"/>
  <c r="DN35" i="45"/>
  <c r="DY34" i="45"/>
  <c r="N279" i="2"/>
  <c r="J279" i="2"/>
  <c r="I279" i="2"/>
  <c r="H279" i="2"/>
  <c r="G279" i="2"/>
  <c r="N251" i="2"/>
  <c r="J251" i="2"/>
  <c r="I251" i="2"/>
  <c r="H251" i="2"/>
  <c r="G251" i="2"/>
  <c r="N223" i="2"/>
  <c r="J223" i="2"/>
  <c r="I223" i="2"/>
  <c r="G223" i="2"/>
  <c r="N195" i="2"/>
  <c r="J195" i="2"/>
  <c r="I195" i="2"/>
  <c r="H195" i="2"/>
  <c r="N167" i="2"/>
  <c r="J167" i="2"/>
  <c r="I167" i="2"/>
  <c r="H167" i="2"/>
  <c r="G167" i="2"/>
  <c r="J111" i="2"/>
  <c r="I111" i="2"/>
  <c r="H111" i="2"/>
  <c r="F111" i="2"/>
  <c r="J83" i="2"/>
  <c r="AY28" i="43" s="1"/>
  <c r="AZ28" i="43" s="1"/>
  <c r="I83" i="2"/>
  <c r="H83" i="2"/>
  <c r="AK28" i="43" s="1"/>
  <c r="AL28" i="43" s="1"/>
  <c r="F83" i="2"/>
  <c r="I55" i="2"/>
  <c r="J55" i="2"/>
  <c r="AY28" i="45" s="1"/>
  <c r="AZ28" i="45" s="1"/>
  <c r="F55" i="2"/>
  <c r="AM28" i="45" s="1"/>
  <c r="AN28" i="45" s="1"/>
  <c r="CD8" i="45" l="1"/>
  <c r="CF8" i="45" s="1"/>
  <c r="CJ8" i="45" s="1"/>
  <c r="CK8" i="45" s="1"/>
  <c r="CL8" i="45" s="1"/>
  <c r="CM8" i="45" s="1"/>
  <c r="W8" i="45" s="1"/>
  <c r="DB8" i="45"/>
  <c r="DG37" i="45" s="1"/>
  <c r="AM28" i="43"/>
  <c r="AN28" i="43" s="1"/>
  <c r="AR28" i="43" s="1"/>
  <c r="AX28" i="45"/>
  <c r="BL28" i="45" s="1"/>
  <c r="AP28" i="45"/>
  <c r="AR28" i="45"/>
  <c r="AO28" i="45"/>
  <c r="BD28" i="45"/>
  <c r="BE28" i="45" s="1"/>
  <c r="BF28" i="45" s="1"/>
  <c r="BA28" i="45"/>
  <c r="BQ28" i="45" s="1"/>
  <c r="DO35" i="45"/>
  <c r="X10" i="45"/>
  <c r="AA10" i="45"/>
  <c r="DL36" i="45"/>
  <c r="DK57" i="45"/>
  <c r="DC12" i="45" s="1"/>
  <c r="CE8" i="45"/>
  <c r="DZ34" i="45"/>
  <c r="BD28" i="43"/>
  <c r="BE28" i="43" s="1"/>
  <c r="BF28" i="43" s="1"/>
  <c r="BA28" i="43"/>
  <c r="BQ28" i="43" s="1"/>
  <c r="D54" i="38"/>
  <c r="CV28" i="43"/>
  <c r="CW28" i="43" s="1"/>
  <c r="CX28" i="43"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AX28" i="43" l="1"/>
  <c r="BL28" i="43" s="1"/>
  <c r="AP28" i="43"/>
  <c r="AO28" i="43"/>
  <c r="AS28" i="43" s="1"/>
  <c r="BZ9" i="45"/>
  <c r="V9" i="45" s="1"/>
  <c r="DG58" i="45"/>
  <c r="DG59" i="45" s="1"/>
  <c r="DD9" i="45" s="1"/>
  <c r="DH37" i="45"/>
  <c r="DI37" i="45" s="1"/>
  <c r="DJ37" i="45" s="1"/>
  <c r="BW28" i="45"/>
  <c r="AS28" i="45"/>
  <c r="DM36" i="45"/>
  <c r="DP35" i="45"/>
  <c r="M83" i="2"/>
  <c r="G59" i="2"/>
  <c r="L195" i="2"/>
  <c r="G171" i="2"/>
  <c r="C48" i="21"/>
  <c r="C49" i="21" s="1"/>
  <c r="C50" i="21" s="1"/>
  <c r="C51" i="21" s="1"/>
  <c r="C52" i="21" s="1"/>
  <c r="C53" i="21" s="1"/>
  <c r="C54" i="21" s="1"/>
  <c r="C55" i="21" s="1"/>
  <c r="C56" i="21" s="1"/>
  <c r="C57" i="21" s="1"/>
  <c r="C58" i="21" s="1"/>
  <c r="C59" i="21" s="1"/>
  <c r="C60" i="21" s="1"/>
  <c r="C61" i="21" s="1"/>
  <c r="C62" i="21" s="1"/>
  <c r="C63" i="21" s="1"/>
  <c r="C64" i="21" s="1"/>
  <c r="C65" i="21" s="1"/>
  <c r="C66" i="21" s="1"/>
  <c r="C67" i="21" s="1"/>
  <c r="BW28" i="43" l="1"/>
  <c r="CA9" i="45"/>
  <c r="CB9" i="45" s="1"/>
  <c r="BU9" i="45"/>
  <c r="BV9" i="45" s="1"/>
  <c r="BX9" i="45" s="1"/>
  <c r="AW9" i="45"/>
  <c r="BC9" i="45" s="1"/>
  <c r="BM9" i="45" s="1"/>
  <c r="BN9" i="45" s="1"/>
  <c r="CO9" i="45"/>
  <c r="CP9" i="45" s="1"/>
  <c r="AT28" i="45"/>
  <c r="AU28" i="45" s="1"/>
  <c r="AV28" i="45" s="1"/>
  <c r="BB28" i="45" s="1"/>
  <c r="BK28" i="45" s="1"/>
  <c r="BR28" i="45"/>
  <c r="BG28" i="45"/>
  <c r="DK37" i="45"/>
  <c r="DQ35" i="45"/>
  <c r="DN36" i="45"/>
  <c r="AT28" i="43"/>
  <c r="AU28" i="43" s="1"/>
  <c r="AV28" i="43" s="1"/>
  <c r="BB28" i="43" s="1"/>
  <c r="BK28" i="43" s="1"/>
  <c r="BR28" i="43"/>
  <c r="BG28" i="43"/>
  <c r="B48" i="21"/>
  <c r="B49" i="21" s="1"/>
  <c r="B50" i="21" s="1"/>
  <c r="B51" i="21" s="1"/>
  <c r="B52" i="21" s="1"/>
  <c r="B53" i="21" s="1"/>
  <c r="B54" i="21" s="1"/>
  <c r="B55" i="21" s="1"/>
  <c r="B56" i="21" s="1"/>
  <c r="B57" i="21" s="1"/>
  <c r="B58" i="21" s="1"/>
  <c r="B59" i="21" s="1"/>
  <c r="B60" i="21" s="1"/>
  <c r="B61" i="21" s="1"/>
  <c r="B62" i="21" s="1"/>
  <c r="B63" i="21" s="1"/>
  <c r="B64" i="21" s="1"/>
  <c r="B65" i="21" s="1"/>
  <c r="B66" i="21" s="1"/>
  <c r="B67" i="21" s="1"/>
  <c r="CC9" i="45" l="1"/>
  <c r="DO36" i="45"/>
  <c r="CY9" i="45"/>
  <c r="CZ9" i="45" s="1"/>
  <c r="CH9" i="45" s="1"/>
  <c r="CI9" i="45" s="1"/>
  <c r="CQ9" i="45"/>
  <c r="Y9" i="45" s="1"/>
  <c r="DR35" i="45"/>
  <c r="DS35" i="45" s="1"/>
  <c r="DT35" i="45" s="1"/>
  <c r="DU35" i="45" s="1"/>
  <c r="DV35" i="45" s="1"/>
  <c r="DW35" i="45" s="1"/>
  <c r="DX35" i="45" s="1"/>
  <c r="DY35" i="45" s="1"/>
  <c r="DZ35" i="45" s="1"/>
  <c r="DL37" i="45"/>
  <c r="BO9" i="45"/>
  <c r="DB9" i="45"/>
  <c r="DH38" i="45" s="1"/>
  <c r="CD9" i="45"/>
  <c r="F13" i="21"/>
  <c r="D20" i="21"/>
  <c r="D21" i="21"/>
  <c r="D22" i="21"/>
  <c r="D23" i="21"/>
  <c r="D19" i="21"/>
  <c r="F19" i="21" s="1"/>
  <c r="AQ9" i="45" l="1"/>
  <c r="Z9" i="45"/>
  <c r="CR11" i="45"/>
  <c r="DM37" i="45"/>
  <c r="DL57" i="45"/>
  <c r="DC13" i="45" s="1"/>
  <c r="DI38" i="45"/>
  <c r="DH58" i="45"/>
  <c r="DH59" i="45" s="1"/>
  <c r="DD10" i="45" s="1"/>
  <c r="DP36" i="45"/>
  <c r="CF9" i="45"/>
  <c r="CJ9" i="45" s="1"/>
  <c r="BP9" i="45"/>
  <c r="F20" i="21"/>
  <c r="F21" i="21" s="1"/>
  <c r="F22" i="21" s="1"/>
  <c r="F23" i="21" s="1"/>
  <c r="DN37" i="45" l="1"/>
  <c r="CT11" i="45"/>
  <c r="DJ38" i="45"/>
  <c r="DQ36" i="45"/>
  <c r="CE9" i="45"/>
  <c r="CK9" i="45"/>
  <c r="CL9" i="45" s="1"/>
  <c r="C13" i="21"/>
  <c r="D24" i="21" s="1"/>
  <c r="F24" i="21" s="1"/>
  <c r="DR36" i="45" l="1"/>
  <c r="DS36" i="45" s="1"/>
  <c r="DT36" i="45" s="1"/>
  <c r="DU36" i="45" s="1"/>
  <c r="DV36" i="45" s="1"/>
  <c r="DW36" i="45" s="1"/>
  <c r="DX36" i="45" s="1"/>
  <c r="DY36" i="45" s="1"/>
  <c r="DZ36" i="45" s="1"/>
  <c r="DK38" i="45"/>
  <c r="X11" i="45"/>
  <c r="AA11" i="45"/>
  <c r="DO37" i="45"/>
  <c r="CM9" i="45"/>
  <c r="W9" i="45" s="1"/>
  <c r="BZ10" i="45"/>
  <c r="V10" i="45" s="1"/>
  <c r="D28" i="21"/>
  <c r="D25" i="21"/>
  <c r="F25" i="21" s="1"/>
  <c r="D29" i="21"/>
  <c r="D26" i="21"/>
  <c r="D30" i="21"/>
  <c r="D27" i="21"/>
  <c r="DL38" i="45" l="1"/>
  <c r="DP37" i="45"/>
  <c r="CA10" i="45"/>
  <c r="CB10" i="45" s="1"/>
  <c r="BU10" i="45"/>
  <c r="BV10" i="45" s="1"/>
  <c r="BX10" i="45" s="1"/>
  <c r="CO10" i="45"/>
  <c r="CP10" i="45" s="1"/>
  <c r="AW10" i="45"/>
  <c r="F26" i="21"/>
  <c r="F27" i="21" s="1"/>
  <c r="F28" i="21" s="1"/>
  <c r="F29" i="21" s="1"/>
  <c r="F30" i="21" s="1"/>
  <c r="DQ37" i="45" l="1"/>
  <c r="CC10" i="45"/>
  <c r="DM38" i="45"/>
  <c r="BC10" i="45"/>
  <c r="BD10" i="45" s="1"/>
  <c r="BE10" i="45" s="1"/>
  <c r="BF10" i="45" s="1"/>
  <c r="CY10" i="45"/>
  <c r="CZ10" i="45" s="1"/>
  <c r="CH10" i="45" s="1"/>
  <c r="CI10" i="45" s="1"/>
  <c r="CQ10" i="45"/>
  <c r="Y10" i="45" s="1"/>
  <c r="F20" i="2"/>
  <c r="BM10" i="45" l="1"/>
  <c r="BN10" i="45" s="1"/>
  <c r="BO10" i="45" s="1"/>
  <c r="Z10" i="45" s="1"/>
  <c r="DN38" i="45"/>
  <c r="DM57" i="45"/>
  <c r="DC14" i="45" s="1"/>
  <c r="DB10" i="45"/>
  <c r="DI39" i="45" s="1"/>
  <c r="CD10" i="45"/>
  <c r="DR37" i="45"/>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F167" i="2" s="1"/>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G55" i="2" s="1"/>
  <c r="AI29" i="2"/>
  <c r="AH29" i="2"/>
  <c r="AG29" i="2"/>
  <c r="AF29" i="2"/>
  <c r="J20" i="2"/>
  <c r="P17" i="2"/>
  <c r="AQ10" i="45" l="1"/>
  <c r="BP10" i="45"/>
  <c r="CR12" i="45"/>
  <c r="CT12" i="45" s="1"/>
  <c r="DS37" i="45"/>
  <c r="CF10" i="45"/>
  <c r="CJ10" i="45" s="1"/>
  <c r="CK10" i="45" s="1"/>
  <c r="CL10" i="45" s="1"/>
  <c r="CM10" i="45" s="1"/>
  <c r="W10" i="45" s="1"/>
  <c r="DO38" i="45"/>
  <c r="DJ39" i="45"/>
  <c r="DI58" i="45"/>
  <c r="DI59" i="45" s="1"/>
  <c r="DD11" i="45" s="1"/>
  <c r="DB4" i="43"/>
  <c r="V4" i="43"/>
  <c r="CA4" i="43"/>
  <c r="CB4" i="43" s="1"/>
  <c r="BU4" i="43"/>
  <c r="BV4" i="43" s="1"/>
  <c r="BX4" i="43" s="1"/>
  <c r="AW4" i="43"/>
  <c r="BC4" i="43" s="1"/>
  <c r="CO4" i="43"/>
  <c r="CP4" i="43" s="1"/>
  <c r="CQ4" i="43" s="1"/>
  <c r="Y4" i="43" s="1"/>
  <c r="DC33" i="43"/>
  <c r="DC58" i="43" s="1"/>
  <c r="DC59" i="43" s="1"/>
  <c r="DD5" i="43" s="1"/>
  <c r="BZ11" i="45" l="1"/>
  <c r="V11" i="45" s="1"/>
  <c r="DK39" i="45"/>
  <c r="CE10" i="45"/>
  <c r="AA12" i="45"/>
  <c r="X12" i="45"/>
  <c r="DP38" i="45"/>
  <c r="DT37" i="45"/>
  <c r="DU37" i="45" s="1"/>
  <c r="DV37" i="45" s="1"/>
  <c r="DW37" i="45" s="1"/>
  <c r="DX37" i="45" s="1"/>
  <c r="DY37" i="45" s="1"/>
  <c r="DZ37" i="45" s="1"/>
  <c r="BU11" i="45"/>
  <c r="BV11" i="45" s="1"/>
  <c r="BX11" i="45" s="1"/>
  <c r="AW11" i="45"/>
  <c r="DD33" i="43"/>
  <c r="DE33" i="43" s="1"/>
  <c r="DF33" i="43" s="1"/>
  <c r="DG33" i="43" s="1"/>
  <c r="DH33" i="43" s="1"/>
  <c r="BM4" i="43"/>
  <c r="BN4" i="43" s="1"/>
  <c r="BO4" i="43" s="1"/>
  <c r="Z4" i="43" s="1"/>
  <c r="CC4" i="43"/>
  <c r="CD4" i="43" s="1"/>
  <c r="CO11" i="45" l="1"/>
  <c r="CP11" i="45" s="1"/>
  <c r="CY11" i="45" s="1"/>
  <c r="CZ11" i="45" s="1"/>
  <c r="CH11" i="45" s="1"/>
  <c r="CI11" i="45" s="1"/>
  <c r="CA11" i="45"/>
  <c r="CB11" i="45" s="1"/>
  <c r="CC11" i="45" s="1"/>
  <c r="DL39" i="45"/>
  <c r="DQ38" i="45"/>
  <c r="BC11" i="45"/>
  <c r="BD11" i="45" s="1"/>
  <c r="BE11" i="45" s="1"/>
  <c r="BF11" i="45" s="1"/>
  <c r="CQ11" i="45"/>
  <c r="Y11" i="45" s="1"/>
  <c r="AQ4" i="43"/>
  <c r="CR6" i="43"/>
  <c r="DH57" i="43"/>
  <c r="DC9" i="43" s="1"/>
  <c r="DI33" i="43"/>
  <c r="BP4" i="43"/>
  <c r="CF4" i="43"/>
  <c r="CJ4" i="43" s="1"/>
  <c r="BM11" i="45" l="1"/>
  <c r="BN11" i="45" s="1"/>
  <c r="BO11" i="45" s="1"/>
  <c r="BP11" i="45" s="1"/>
  <c r="DR38" i="45"/>
  <c r="DM39" i="45"/>
  <c r="DB11" i="45"/>
  <c r="DJ40" i="45" s="1"/>
  <c r="CD11" i="45"/>
  <c r="CE4" i="43"/>
  <c r="CK4" i="43"/>
  <c r="CL4" i="43" s="1"/>
  <c r="DJ33" i="43"/>
  <c r="DK40" i="45" l="1"/>
  <c r="DL40" i="45" s="1"/>
  <c r="DM40" i="45" s="1"/>
  <c r="DN40" i="45" s="1"/>
  <c r="DO40" i="45" s="1"/>
  <c r="DP40" i="45" s="1"/>
  <c r="DQ40" i="45" s="1"/>
  <c r="DR40" i="45" s="1"/>
  <c r="DS40" i="45" s="1"/>
  <c r="DT40" i="45" s="1"/>
  <c r="DU40" i="45" s="1"/>
  <c r="DV40" i="45" s="1"/>
  <c r="DW40" i="45" s="1"/>
  <c r="DX40" i="45" s="1"/>
  <c r="DY40" i="45" s="1"/>
  <c r="DZ40" i="45" s="1"/>
  <c r="DJ58" i="45"/>
  <c r="DJ59" i="45" s="1"/>
  <c r="DD12" i="45" s="1"/>
  <c r="DN39" i="45"/>
  <c r="AQ11" i="45"/>
  <c r="Z11" i="45"/>
  <c r="CR13" i="45"/>
  <c r="DS38" i="45"/>
  <c r="CF11" i="45"/>
  <c r="CJ11" i="45" s="1"/>
  <c r="BZ5" i="43"/>
  <c r="CM4" i="43"/>
  <c r="W4" i="43" s="1"/>
  <c r="DK33" i="43"/>
  <c r="CE11" i="45" l="1"/>
  <c r="DT38" i="45"/>
  <c r="CT13" i="45"/>
  <c r="DO39" i="45"/>
  <c r="DN57" i="45"/>
  <c r="DC15" i="45" s="1"/>
  <c r="CK11" i="45"/>
  <c r="CL11" i="45" s="1"/>
  <c r="DL33" i="43"/>
  <c r="V5" i="43"/>
  <c r="C31" i="38" s="1"/>
  <c r="CA5" i="43"/>
  <c r="CB5" i="43" s="1"/>
  <c r="BU5" i="43"/>
  <c r="BV5" i="43" s="1"/>
  <c r="BX5" i="43" s="1"/>
  <c r="CO5" i="43"/>
  <c r="CP5" i="43" s="1"/>
  <c r="AW5" i="43"/>
  <c r="AA13" i="45" l="1"/>
  <c r="X13" i="45"/>
  <c r="DP39" i="45"/>
  <c r="DO57" i="45"/>
  <c r="DC16" i="45" s="1"/>
  <c r="DU38" i="45"/>
  <c r="DV38" i="45" s="1"/>
  <c r="DW38" i="45" s="1"/>
  <c r="DX38" i="45" s="1"/>
  <c r="DY38" i="45" s="1"/>
  <c r="DZ38" i="45" s="1"/>
  <c r="CM11" i="45"/>
  <c r="W11" i="45" s="1"/>
  <c r="BZ12" i="45"/>
  <c r="V12" i="45" s="1"/>
  <c r="CC5" i="43"/>
  <c r="DB5" i="43" s="1"/>
  <c r="DD34" i="43" s="1"/>
  <c r="DD58" i="43" s="1"/>
  <c r="DD59" i="43" s="1"/>
  <c r="DD6" i="43" s="1"/>
  <c r="CQ5" i="43"/>
  <c r="Y5" i="43" s="1"/>
  <c r="CY5" i="43"/>
  <c r="CZ5" i="43" s="1"/>
  <c r="CH5" i="43" s="1"/>
  <c r="BC5" i="43"/>
  <c r="BM5" i="43" s="1"/>
  <c r="BN5" i="43" s="1"/>
  <c r="DM33" i="43"/>
  <c r="DQ39" i="45" l="1"/>
  <c r="CO12" i="45"/>
  <c r="CP12" i="45" s="1"/>
  <c r="AW12" i="45"/>
  <c r="CA12" i="45"/>
  <c r="CB12" i="45" s="1"/>
  <c r="BU12" i="45"/>
  <c r="BV12" i="45" s="1"/>
  <c r="BX12" i="45" s="1"/>
  <c r="DE34" i="43"/>
  <c r="DF34" i="43" s="1"/>
  <c r="CD5" i="43"/>
  <c r="CF5" i="43" s="1"/>
  <c r="CI5" i="43"/>
  <c r="DN33" i="43"/>
  <c r="BO5" i="43"/>
  <c r="BP5" i="43" s="1"/>
  <c r="DR39" i="45" l="1"/>
  <c r="CC12" i="45"/>
  <c r="BC12" i="45"/>
  <c r="BD12" i="45" s="1"/>
  <c r="BE12" i="45" s="1"/>
  <c r="BF12" i="45" s="1"/>
  <c r="CY12" i="45"/>
  <c r="CZ12" i="45" s="1"/>
  <c r="CH12" i="45" s="1"/>
  <c r="CI12" i="45" s="1"/>
  <c r="CQ12" i="45"/>
  <c r="Y12" i="45" s="1"/>
  <c r="CJ5" i="43"/>
  <c r="CK5" i="43" s="1"/>
  <c r="DO33" i="43"/>
  <c r="Z5" i="43"/>
  <c r="AQ5" i="43"/>
  <c r="CR7" i="43"/>
  <c r="CE5" i="43"/>
  <c r="DG34" i="43"/>
  <c r="BM12" i="45" l="1"/>
  <c r="BN12" i="45" s="1"/>
  <c r="BO12" i="45" s="1"/>
  <c r="DS39" i="45"/>
  <c r="DB12" i="45"/>
  <c r="DK41" i="45" s="1"/>
  <c r="CD12" i="45"/>
  <c r="CL5" i="43"/>
  <c r="CM5" i="43" s="1"/>
  <c r="W5" i="43" s="1"/>
  <c r="DH34" i="43"/>
  <c r="DP33" i="43"/>
  <c r="AQ12" i="45" l="1"/>
  <c r="Z12" i="45"/>
  <c r="CR14" i="45"/>
  <c r="DL41" i="45"/>
  <c r="DM41" i="45" s="1"/>
  <c r="DK58" i="45"/>
  <c r="DK59" i="45" s="1"/>
  <c r="DD13" i="45" s="1"/>
  <c r="DT39" i="45"/>
  <c r="BP12" i="45"/>
  <c r="CF12" i="45"/>
  <c r="CJ12" i="45" s="1"/>
  <c r="CK12" i="45" s="1"/>
  <c r="CL12" i="45" s="1"/>
  <c r="BZ6" i="43"/>
  <c r="CO6" i="43" s="1"/>
  <c r="CP6" i="43" s="1"/>
  <c r="CS6" i="43" s="1"/>
  <c r="DI34" i="43"/>
  <c r="DQ33" i="43"/>
  <c r="DN41" i="45" l="1"/>
  <c r="CT14" i="45"/>
  <c r="CE12" i="45"/>
  <c r="DU39" i="45"/>
  <c r="BZ13" i="45"/>
  <c r="V13" i="45" s="1"/>
  <c r="CM12" i="45"/>
  <c r="W12" i="45" s="1"/>
  <c r="CA6" i="43"/>
  <c r="CB6" i="43" s="1"/>
  <c r="AW6" i="43"/>
  <c r="BC6" i="43" s="1"/>
  <c r="BU6" i="43"/>
  <c r="BV6" i="43" s="1"/>
  <c r="BX6" i="43" s="1"/>
  <c r="CT6" i="43"/>
  <c r="DR33" i="43"/>
  <c r="CQ6" i="43"/>
  <c r="CY6" i="43"/>
  <c r="CZ6" i="43" s="1"/>
  <c r="CH6" i="43" s="1"/>
  <c r="DJ34" i="43"/>
  <c r="DI57" i="43"/>
  <c r="DC10" i="43" s="1"/>
  <c r="AA14" i="45" l="1"/>
  <c r="X14" i="45"/>
  <c r="DV39" i="45"/>
  <c r="DW39" i="45" s="1"/>
  <c r="DX39" i="45" s="1"/>
  <c r="DY39" i="45" s="1"/>
  <c r="DZ39" i="45" s="1"/>
  <c r="DO41" i="45"/>
  <c r="BU13" i="45"/>
  <c r="BV13" i="45" s="1"/>
  <c r="BX13" i="45" s="1"/>
  <c r="CA13" i="45"/>
  <c r="CB13" i="45" s="1"/>
  <c r="CO13" i="45"/>
  <c r="CP13" i="45" s="1"/>
  <c r="AW13" i="45"/>
  <c r="CC6" i="43"/>
  <c r="DB6" i="43" s="1"/>
  <c r="DE35" i="43" s="1"/>
  <c r="BM6" i="43"/>
  <c r="BN6" i="43" s="1"/>
  <c r="BO6" i="43" s="1"/>
  <c r="BP6" i="43" s="1"/>
  <c r="BD6" i="43"/>
  <c r="BE6" i="43" s="1"/>
  <c r="BF6" i="43" s="1"/>
  <c r="X6" i="43"/>
  <c r="AA6" i="43"/>
  <c r="V6" i="43"/>
  <c r="C32" i="38" s="1"/>
  <c r="Y6" i="43"/>
  <c r="CI6" i="43"/>
  <c r="DS33" i="43"/>
  <c r="DK34" i="43"/>
  <c r="CD6" i="43" l="1"/>
  <c r="CF6" i="43" s="1"/>
  <c r="CJ6" i="43" s="1"/>
  <c r="DP41" i="45"/>
  <c r="CC13" i="45"/>
  <c r="DB13" i="45" s="1"/>
  <c r="DL42" i="45" s="1"/>
  <c r="BC13" i="45"/>
  <c r="BD13" i="45" s="1"/>
  <c r="BE13" i="45" s="1"/>
  <c r="BF13" i="45" s="1"/>
  <c r="CY13" i="45"/>
  <c r="CZ13" i="45" s="1"/>
  <c r="CH13" i="45" s="1"/>
  <c r="CI13" i="45" s="1"/>
  <c r="CQ13" i="45"/>
  <c r="Y13" i="45" s="1"/>
  <c r="DF35" i="43"/>
  <c r="DE58" i="43"/>
  <c r="DE59" i="43" s="1"/>
  <c r="DD7" i="43" s="1"/>
  <c r="DL34" i="43"/>
  <c r="AQ6" i="43"/>
  <c r="Z6" i="43"/>
  <c r="CR8" i="43"/>
  <c r="DT33" i="43"/>
  <c r="CD13" i="45" l="1"/>
  <c r="CF13" i="45" s="1"/>
  <c r="CJ13" i="45" s="1"/>
  <c r="CK13" i="45" s="1"/>
  <c r="CL13" i="45" s="1"/>
  <c r="DM42" i="45"/>
  <c r="DL58" i="45"/>
  <c r="DL59" i="45" s="1"/>
  <c r="DD14" i="45" s="1"/>
  <c r="BM13" i="45"/>
  <c r="BN13" i="45" s="1"/>
  <c r="BO13" i="45" s="1"/>
  <c r="BP13" i="45" s="1"/>
  <c r="DQ41" i="45"/>
  <c r="DP57" i="45"/>
  <c r="DC17" i="45" s="1"/>
  <c r="CK6" i="43"/>
  <c r="CL6" i="43" s="1"/>
  <c r="DG35" i="43"/>
  <c r="DU33" i="43"/>
  <c r="DM34" i="43"/>
  <c r="CE6" i="43"/>
  <c r="DR41" i="45" l="1"/>
  <c r="AQ13" i="45"/>
  <c r="Z13" i="45"/>
  <c r="CR15" i="45"/>
  <c r="DN42" i="45"/>
  <c r="CE13" i="45"/>
  <c r="BZ14" i="45"/>
  <c r="V14" i="45" s="1"/>
  <c r="CM13" i="45"/>
  <c r="W13" i="45" s="1"/>
  <c r="CM6" i="43"/>
  <c r="W6" i="43" s="1"/>
  <c r="BZ7" i="43"/>
  <c r="DV33" i="43"/>
  <c r="DN34" i="43"/>
  <c r="DH35" i="43"/>
  <c r="DO42" i="45" l="1"/>
  <c r="CT15" i="45"/>
  <c r="DS41" i="45"/>
  <c r="BU14" i="45"/>
  <c r="BV14" i="45" s="1"/>
  <c r="BX14" i="45" s="1"/>
  <c r="CA14" i="45"/>
  <c r="CB14" i="45" s="1"/>
  <c r="CO14" i="45"/>
  <c r="CP14" i="45" s="1"/>
  <c r="AW14" i="45"/>
  <c r="DW33" i="43"/>
  <c r="DO34" i="43"/>
  <c r="CO7" i="43"/>
  <c r="CP7" i="43" s="1"/>
  <c r="CS7" i="43" s="1"/>
  <c r="CA7" i="43"/>
  <c r="CB7" i="43" s="1"/>
  <c r="AW7" i="43"/>
  <c r="BU7" i="43"/>
  <c r="BV7" i="43" s="1"/>
  <c r="BX7" i="43" s="1"/>
  <c r="DI35" i="43"/>
  <c r="CC14" i="45" l="1"/>
  <c r="DB14" i="45" s="1"/>
  <c r="DM43" i="45" s="1"/>
  <c r="X15" i="45"/>
  <c r="AA15" i="45"/>
  <c r="DT41" i="45"/>
  <c r="DP42" i="45"/>
  <c r="BC14" i="45"/>
  <c r="BD14" i="45" s="1"/>
  <c r="BE14" i="45" s="1"/>
  <c r="BF14" i="45" s="1"/>
  <c r="CY14" i="45"/>
  <c r="CZ14" i="45" s="1"/>
  <c r="CH14" i="45" s="1"/>
  <c r="CI14" i="45" s="1"/>
  <c r="CQ14" i="45"/>
  <c r="Y14" i="45" s="1"/>
  <c r="CD14" i="45"/>
  <c r="CT7" i="43"/>
  <c r="CC7" i="43"/>
  <c r="CQ7" i="43"/>
  <c r="CY7" i="43"/>
  <c r="CZ7" i="43" s="1"/>
  <c r="CH7" i="43" s="1"/>
  <c r="DX33" i="43"/>
  <c r="DP34" i="43"/>
  <c r="DJ35" i="43"/>
  <c r="BC7" i="43"/>
  <c r="BM14" i="45" l="1"/>
  <c r="BN14" i="45" s="1"/>
  <c r="BO14" i="45" s="1"/>
  <c r="BP14" i="45" s="1"/>
  <c r="DQ42" i="45"/>
  <c r="DU41" i="45"/>
  <c r="DN43" i="45"/>
  <c r="DM58" i="45"/>
  <c r="DM59" i="45" s="1"/>
  <c r="DD15" i="45" s="1"/>
  <c r="CF14" i="45"/>
  <c r="CJ14" i="45" s="1"/>
  <c r="CK14" i="45" s="1"/>
  <c r="CL14" i="45" s="1"/>
  <c r="BM7" i="43"/>
  <c r="BN7" i="43" s="1"/>
  <c r="BO7" i="43" s="1"/>
  <c r="BD7" i="43"/>
  <c r="BE7" i="43" s="1"/>
  <c r="BF7" i="43" s="1"/>
  <c r="Y7" i="43"/>
  <c r="X7" i="43"/>
  <c r="AA7" i="43"/>
  <c r="V7" i="43"/>
  <c r="C33" i="38" s="1"/>
  <c r="CI7" i="43"/>
  <c r="DQ34" i="43"/>
  <c r="DK35" i="43"/>
  <c r="DJ57" i="43"/>
  <c r="DC11" i="43" s="1"/>
  <c r="DY33" i="43"/>
  <c r="DB7" i="43"/>
  <c r="DF36" i="43" s="1"/>
  <c r="CD7" i="43"/>
  <c r="DV41" i="45" l="1"/>
  <c r="AQ14" i="45"/>
  <c r="Z14" i="45"/>
  <c r="CR16" i="45"/>
  <c r="DO43" i="45"/>
  <c r="DR42" i="45"/>
  <c r="DQ57" i="45"/>
  <c r="DC18" i="45" s="1"/>
  <c r="CE14" i="45"/>
  <c r="CM14" i="45"/>
  <c r="W14" i="45" s="1"/>
  <c r="BZ15" i="45"/>
  <c r="V15" i="45" s="1"/>
  <c r="CF7" i="43"/>
  <c r="CJ7" i="43" s="1"/>
  <c r="DL35" i="43"/>
  <c r="DG36" i="43"/>
  <c r="DF58" i="43"/>
  <c r="DF59" i="43" s="1"/>
  <c r="DD8" i="43" s="1"/>
  <c r="AQ7" i="43"/>
  <c r="Z7" i="43"/>
  <c r="CR9" i="43"/>
  <c r="DZ33" i="43"/>
  <c r="DR34" i="43"/>
  <c r="BP7" i="43"/>
  <c r="DS42" i="45" l="1"/>
  <c r="DP43" i="45"/>
  <c r="CT16" i="45"/>
  <c r="DW41" i="45"/>
  <c r="DX41" i="45" s="1"/>
  <c r="DY41" i="45" s="1"/>
  <c r="DZ41" i="45" s="1"/>
  <c r="CA15" i="45"/>
  <c r="CB15" i="45" s="1"/>
  <c r="CO15" i="45"/>
  <c r="CP15" i="45" s="1"/>
  <c r="AW15" i="45"/>
  <c r="BU15" i="45"/>
  <c r="BV15" i="45" s="1"/>
  <c r="BX15" i="45" s="1"/>
  <c r="DS34" i="43"/>
  <c r="DM35" i="43"/>
  <c r="CK7" i="43"/>
  <c r="CL7" i="43" s="1"/>
  <c r="DH36" i="43"/>
  <c r="CE7" i="43"/>
  <c r="DQ43" i="45" l="1"/>
  <c r="AA16" i="45"/>
  <c r="X16" i="45"/>
  <c r="DT42" i="45"/>
  <c r="BC15" i="45"/>
  <c r="BD15" i="45" s="1"/>
  <c r="BE15" i="45" s="1"/>
  <c r="BF15" i="45" s="1"/>
  <c r="CY15" i="45"/>
  <c r="CZ15" i="45" s="1"/>
  <c r="CH15" i="45" s="1"/>
  <c r="CI15" i="45" s="1"/>
  <c r="CQ15" i="45"/>
  <c r="Y15" i="45" s="1"/>
  <c r="CC15" i="45"/>
  <c r="DN35" i="43"/>
  <c r="CM7" i="43"/>
  <c r="W7" i="43" s="1"/>
  <c r="BZ8" i="43"/>
  <c r="DI36" i="43"/>
  <c r="DT34" i="43"/>
  <c r="BM15" i="45" l="1"/>
  <c r="BN15" i="45" s="1"/>
  <c r="BO15" i="45" s="1"/>
  <c r="BP15" i="45" s="1"/>
  <c r="DU42" i="45"/>
  <c r="DR43" i="45"/>
  <c r="DB15" i="45"/>
  <c r="DN44" i="45" s="1"/>
  <c r="CD15" i="45"/>
  <c r="DJ36" i="43"/>
  <c r="AW8" i="43"/>
  <c r="BU8" i="43"/>
  <c r="BV8" i="43" s="1"/>
  <c r="BX8" i="43" s="1"/>
  <c r="CA8" i="43"/>
  <c r="CB8" i="43" s="1"/>
  <c r="CO8" i="43"/>
  <c r="CP8" i="43" s="1"/>
  <c r="CS8" i="43" s="1"/>
  <c r="DO35" i="43"/>
  <c r="DU34" i="43"/>
  <c r="DS43" i="45" l="1"/>
  <c r="DT43" i="45" s="1"/>
  <c r="DR57" i="45"/>
  <c r="DC19" i="45" s="1"/>
  <c r="DO44" i="45"/>
  <c r="DN58" i="45"/>
  <c r="DN59" i="45" s="1"/>
  <c r="DD16" i="45" s="1"/>
  <c r="AQ15" i="45"/>
  <c r="Z15" i="45"/>
  <c r="CR17" i="45"/>
  <c r="DV42" i="45"/>
  <c r="CF15" i="45"/>
  <c r="CJ15" i="45" s="1"/>
  <c r="CK15" i="45" s="1"/>
  <c r="CL15" i="45" s="1"/>
  <c r="CC8" i="43"/>
  <c r="DB8" i="43" s="1"/>
  <c r="DG37" i="43" s="1"/>
  <c r="DH37" i="43" s="1"/>
  <c r="CT8" i="43"/>
  <c r="DV34" i="43"/>
  <c r="BC8" i="43"/>
  <c r="CY8" i="43"/>
  <c r="CZ8" i="43" s="1"/>
  <c r="CH8" i="43" s="1"/>
  <c r="CQ8" i="43"/>
  <c r="DP35" i="43"/>
  <c r="DK36" i="43"/>
  <c r="CT17" i="45" l="1"/>
  <c r="DP44" i="45"/>
  <c r="CE15" i="45"/>
  <c r="DW42" i="45"/>
  <c r="DU43" i="45"/>
  <c r="CM15" i="45"/>
  <c r="W15" i="45" s="1"/>
  <c r="BZ16" i="45"/>
  <c r="V16" i="45" s="1"/>
  <c r="BM8" i="43"/>
  <c r="BN8" i="43" s="1"/>
  <c r="BO8" i="43" s="1"/>
  <c r="BD8" i="43"/>
  <c r="BE8" i="43" s="1"/>
  <c r="BF8" i="43" s="1"/>
  <c r="DG58" i="43"/>
  <c r="DG59" i="43" s="1"/>
  <c r="DD9" i="43" s="1"/>
  <c r="Y8" i="43"/>
  <c r="CD8" i="43"/>
  <c r="CF8" i="43" s="1"/>
  <c r="X8" i="43"/>
  <c r="AA8" i="43"/>
  <c r="V8" i="43"/>
  <c r="C34" i="38" s="1"/>
  <c r="DL36" i="43"/>
  <c r="DK57" i="43"/>
  <c r="DC12" i="43" s="1"/>
  <c r="DQ35" i="43"/>
  <c r="CI8" i="43"/>
  <c r="DI37" i="43"/>
  <c r="DW34" i="43"/>
  <c r="DV43" i="45" l="1"/>
  <c r="DQ44" i="45"/>
  <c r="DX42" i="45"/>
  <c r="DY42" i="45" s="1"/>
  <c r="DZ42" i="45" s="1"/>
  <c r="AA17" i="45"/>
  <c r="X17" i="45"/>
  <c r="CO16" i="45"/>
  <c r="CP16" i="45" s="1"/>
  <c r="AW16" i="45"/>
  <c r="BU16" i="45"/>
  <c r="BV16" i="45" s="1"/>
  <c r="BX16" i="45" s="1"/>
  <c r="CA16" i="45"/>
  <c r="CB16" i="45" s="1"/>
  <c r="CJ8" i="43"/>
  <c r="DR35" i="43"/>
  <c r="DX34" i="43"/>
  <c r="DM36" i="43"/>
  <c r="CK8" i="43"/>
  <c r="CL8" i="43" s="1"/>
  <c r="AQ8" i="43"/>
  <c r="Z8" i="43"/>
  <c r="CR10" i="43"/>
  <c r="CE8" i="43"/>
  <c r="DJ37" i="43"/>
  <c r="BP8" i="43"/>
  <c r="CC16" i="45" l="1"/>
  <c r="DB16" i="45" s="1"/>
  <c r="DO45" i="45" s="1"/>
  <c r="DP45" i="45" s="1"/>
  <c r="DR44" i="45"/>
  <c r="DW43" i="45"/>
  <c r="BC16" i="45"/>
  <c r="BD16" i="45" s="1"/>
  <c r="BE16" i="45" s="1"/>
  <c r="BF16" i="45" s="1"/>
  <c r="CY16" i="45"/>
  <c r="CZ16" i="45" s="1"/>
  <c r="CH16" i="45" s="1"/>
  <c r="CI16" i="45" s="1"/>
  <c r="CQ16" i="45"/>
  <c r="Y16" i="45" s="1"/>
  <c r="CM8" i="43"/>
  <c r="W8" i="43" s="1"/>
  <c r="BZ9" i="43"/>
  <c r="DY34" i="43"/>
  <c r="DN36" i="43"/>
  <c r="DK37" i="43"/>
  <c r="DS35" i="43"/>
  <c r="BM16" i="45" l="1"/>
  <c r="BN16" i="45" s="1"/>
  <c r="BO16" i="45" s="1"/>
  <c r="CD16" i="45"/>
  <c r="DO58" i="45"/>
  <c r="DO59" i="45" s="1"/>
  <c r="DD17" i="45" s="1"/>
  <c r="DQ45" i="45"/>
  <c r="DX43" i="45"/>
  <c r="DS44" i="45"/>
  <c r="CF16" i="45"/>
  <c r="CJ16" i="45" s="1"/>
  <c r="CK16" i="45" s="1"/>
  <c r="CL16" i="45" s="1"/>
  <c r="DO36" i="43"/>
  <c r="DZ34" i="43"/>
  <c r="DL37" i="43"/>
  <c r="CA9" i="43"/>
  <c r="CB9" i="43" s="1"/>
  <c r="AW9" i="43"/>
  <c r="BU9" i="43"/>
  <c r="BV9" i="43" s="1"/>
  <c r="BX9" i="43" s="1"/>
  <c r="CO9" i="43"/>
  <c r="CP9" i="43" s="1"/>
  <c r="CS9" i="43" s="1"/>
  <c r="DT35" i="43"/>
  <c r="AQ16" i="45" l="1"/>
  <c r="Z16" i="45"/>
  <c r="CR18" i="45"/>
  <c r="DY43" i="45"/>
  <c r="DZ43" i="45" s="1"/>
  <c r="DT44" i="45"/>
  <c r="DU44" i="45" s="1"/>
  <c r="DS57" i="45"/>
  <c r="DC20" i="45" s="1"/>
  <c r="DR45" i="45"/>
  <c r="BP16" i="45"/>
  <c r="CE16" i="45"/>
  <c r="BZ17" i="45"/>
  <c r="V17" i="45" s="1"/>
  <c r="CM16" i="45"/>
  <c r="W16" i="45" s="1"/>
  <c r="CT9" i="43"/>
  <c r="DU35" i="43"/>
  <c r="BC9" i="43"/>
  <c r="CC9" i="43"/>
  <c r="DM37" i="43"/>
  <c r="DL57" i="43"/>
  <c r="DC13" i="43" s="1"/>
  <c r="DP36" i="43"/>
  <c r="CY9" i="43"/>
  <c r="CZ9" i="43" s="1"/>
  <c r="CH9" i="43" s="1"/>
  <c r="CQ9" i="43"/>
  <c r="Y9" i="43" l="1"/>
  <c r="CT18" i="45"/>
  <c r="DV44" i="45"/>
  <c r="DS45" i="45"/>
  <c r="AW17" i="45"/>
  <c r="BU17" i="45"/>
  <c r="BV17" i="45" s="1"/>
  <c r="BX17" i="45" s="1"/>
  <c r="CA17" i="45"/>
  <c r="CB17" i="45" s="1"/>
  <c r="CO17" i="45"/>
  <c r="CP17" i="45" s="1"/>
  <c r="BM9" i="43"/>
  <c r="BN9" i="43" s="1"/>
  <c r="BO9" i="43" s="1"/>
  <c r="BD9" i="43"/>
  <c r="BE9" i="43" s="1"/>
  <c r="BF9" i="43" s="1"/>
  <c r="AA9" i="43"/>
  <c r="X9" i="43"/>
  <c r="V9" i="43"/>
  <c r="C35" i="38" s="1"/>
  <c r="DN37" i="43"/>
  <c r="DV35" i="43"/>
  <c r="DQ36" i="43"/>
  <c r="DB9" i="43"/>
  <c r="DH38" i="43" s="1"/>
  <c r="CD9" i="43"/>
  <c r="CI9" i="43"/>
  <c r="DW44" i="45" l="1"/>
  <c r="CC17" i="45"/>
  <c r="DB17" i="45" s="1"/>
  <c r="DP46" i="45" s="1"/>
  <c r="DT45" i="45"/>
  <c r="X18" i="45"/>
  <c r="AA18" i="45"/>
  <c r="CY17" i="45"/>
  <c r="CZ17" i="45" s="1"/>
  <c r="CH17" i="45" s="1"/>
  <c r="CI17" i="45" s="1"/>
  <c r="CQ17" i="45"/>
  <c r="Y17" i="45" s="1"/>
  <c r="BC17" i="45"/>
  <c r="BD17" i="45" s="1"/>
  <c r="BE17" i="45" s="1"/>
  <c r="BF17" i="45" s="1"/>
  <c r="CF9" i="43"/>
  <c r="CJ9" i="43" s="1"/>
  <c r="DR36" i="43"/>
  <c r="AQ9" i="43"/>
  <c r="Z9" i="43"/>
  <c r="CR11" i="43"/>
  <c r="DO37" i="43"/>
  <c r="DI38" i="43"/>
  <c r="DJ38" i="43" s="1"/>
  <c r="DK38" i="43" s="1"/>
  <c r="DL38" i="43" s="1"/>
  <c r="DM38" i="43" s="1"/>
  <c r="DH58" i="43"/>
  <c r="DH59" i="43" s="1"/>
  <c r="DD10" i="43" s="1"/>
  <c r="BP9" i="43"/>
  <c r="DW35" i="43"/>
  <c r="CD17" i="45" l="1"/>
  <c r="CF17" i="45" s="1"/>
  <c r="CJ17" i="45" s="1"/>
  <c r="CK17" i="45" s="1"/>
  <c r="CL17" i="45" s="1"/>
  <c r="DU45" i="45"/>
  <c r="DV45" i="45" s="1"/>
  <c r="DT57" i="45"/>
  <c r="DC21" i="45" s="1"/>
  <c r="DQ46" i="45"/>
  <c r="DR46" i="45" s="1"/>
  <c r="DP58" i="45"/>
  <c r="DP59" i="45" s="1"/>
  <c r="DD18" i="45" s="1"/>
  <c r="DX44" i="45"/>
  <c r="BM17" i="45"/>
  <c r="BN17" i="45" s="1"/>
  <c r="BO17" i="45" s="1"/>
  <c r="DN38" i="43"/>
  <c r="DO38" i="43" s="1"/>
  <c r="DP38" i="43" s="1"/>
  <c r="DQ38" i="43" s="1"/>
  <c r="DR38" i="43" s="1"/>
  <c r="DS38" i="43" s="1"/>
  <c r="DT38" i="43" s="1"/>
  <c r="DU38" i="43" s="1"/>
  <c r="DV38" i="43" s="1"/>
  <c r="DW38" i="43" s="1"/>
  <c r="DX38" i="43" s="1"/>
  <c r="DY38" i="43" s="1"/>
  <c r="DZ38" i="43" s="1"/>
  <c r="DM57" i="43"/>
  <c r="DC14" i="43" s="1"/>
  <c r="DP37" i="43"/>
  <c r="CE9" i="43"/>
  <c r="DX35" i="43"/>
  <c r="DS36" i="43"/>
  <c r="CK9" i="43"/>
  <c r="CL9" i="43" s="1"/>
  <c r="DS46" i="45" l="1"/>
  <c r="Z17" i="45"/>
  <c r="CR19" i="45"/>
  <c r="DY44" i="45"/>
  <c r="DZ44" i="45" s="1"/>
  <c r="DW45" i="45"/>
  <c r="BP17" i="45"/>
  <c r="AQ17" i="45"/>
  <c r="CE17" i="45"/>
  <c r="CM17" i="45"/>
  <c r="W17" i="45" s="1"/>
  <c r="BZ18" i="45"/>
  <c r="V18" i="45" s="1"/>
  <c r="CM9" i="43"/>
  <c r="W9" i="43" s="1"/>
  <c r="BZ10" i="43"/>
  <c r="DT36" i="43"/>
  <c r="DY35" i="43"/>
  <c r="DQ37" i="43"/>
  <c r="CT19" i="45" l="1"/>
  <c r="DX45" i="45"/>
  <c r="DT46" i="45"/>
  <c r="AW18" i="45"/>
  <c r="BU18" i="45"/>
  <c r="BV18" i="45" s="1"/>
  <c r="BX18" i="45" s="1"/>
  <c r="CA18" i="45"/>
  <c r="CB18" i="45" s="1"/>
  <c r="CO18" i="45"/>
  <c r="CP18" i="45" s="1"/>
  <c r="DR37" i="43"/>
  <c r="DZ35" i="43"/>
  <c r="DU36" i="43"/>
  <c r="CA10" i="43"/>
  <c r="CB10" i="43" s="1"/>
  <c r="BU10" i="43"/>
  <c r="BV10" i="43" s="1"/>
  <c r="BX10" i="43" s="1"/>
  <c r="CO10" i="43"/>
  <c r="CP10" i="43" s="1"/>
  <c r="CS10" i="43" s="1"/>
  <c r="AW10" i="43"/>
  <c r="DY45" i="45" l="1"/>
  <c r="CC18" i="45"/>
  <c r="DB18" i="45" s="1"/>
  <c r="DQ47" i="45" s="1"/>
  <c r="DU46" i="45"/>
  <c r="X19" i="45"/>
  <c r="AA19" i="45"/>
  <c r="CY18" i="45"/>
  <c r="CZ18" i="45" s="1"/>
  <c r="CH18" i="45" s="1"/>
  <c r="CI18" i="45" s="1"/>
  <c r="CQ18" i="45"/>
  <c r="Y18" i="45" s="1"/>
  <c r="BC18" i="45"/>
  <c r="BD18" i="45" s="1"/>
  <c r="BE18" i="45" s="1"/>
  <c r="BF18" i="45" s="1"/>
  <c r="CC10" i="43"/>
  <c r="CT10" i="43"/>
  <c r="CS11" i="43"/>
  <c r="BC10" i="43"/>
  <c r="BD10" i="43" s="1"/>
  <c r="BE10" i="43" s="1"/>
  <c r="BF10" i="43" s="1"/>
  <c r="DS37" i="43"/>
  <c r="CQ10" i="43"/>
  <c r="CY10" i="43"/>
  <c r="CZ10" i="43" s="1"/>
  <c r="CH10" i="43" s="1"/>
  <c r="CI10" i="43" s="1"/>
  <c r="DV36" i="43"/>
  <c r="CD18" i="45" l="1"/>
  <c r="CF18" i="45" s="1"/>
  <c r="CJ18" i="45" s="1"/>
  <c r="CK18" i="45" s="1"/>
  <c r="CL18" i="45" s="1"/>
  <c r="DV46" i="45"/>
  <c r="DW46" i="45" s="1"/>
  <c r="DU57" i="45"/>
  <c r="DC22" i="45" s="1"/>
  <c r="DR47" i="45"/>
  <c r="DS47" i="45" s="1"/>
  <c r="DQ58" i="45"/>
  <c r="DQ59" i="45" s="1"/>
  <c r="DD19" i="45" s="1"/>
  <c r="DZ45" i="45"/>
  <c r="BM18" i="45"/>
  <c r="BN18" i="45" s="1"/>
  <c r="Y10" i="43"/>
  <c r="DB10" i="43"/>
  <c r="DI39" i="43" s="1"/>
  <c r="CD10" i="43"/>
  <c r="CF10" i="43" s="1"/>
  <c r="CJ10" i="43" s="1"/>
  <c r="CS12" i="43"/>
  <c r="CS13" i="43" s="1"/>
  <c r="CS14" i="43" s="1"/>
  <c r="CS15" i="43" s="1"/>
  <c r="CS16" i="43" s="1"/>
  <c r="CS17" i="43" s="1"/>
  <c r="CS18" i="43" s="1"/>
  <c r="CS19" i="43" s="1"/>
  <c r="CS20" i="43" s="1"/>
  <c r="CS21" i="43" s="1"/>
  <c r="CS22" i="43" s="1"/>
  <c r="CS23" i="43" s="1"/>
  <c r="CT11" i="43"/>
  <c r="AA10" i="43"/>
  <c r="X10" i="43"/>
  <c r="V10" i="43"/>
  <c r="C36" i="38" s="1"/>
  <c r="DW36" i="43"/>
  <c r="DT37" i="43"/>
  <c r="BM10" i="43"/>
  <c r="BN10" i="43" s="1"/>
  <c r="DT47" i="45" l="1"/>
  <c r="DX46" i="45"/>
  <c r="BO18" i="45"/>
  <c r="BP18" i="45" s="1"/>
  <c r="CE18" i="45"/>
  <c r="BZ19" i="45"/>
  <c r="V19" i="45" s="1"/>
  <c r="CM18" i="45"/>
  <c r="W18" i="45" s="1"/>
  <c r="DJ39" i="43"/>
  <c r="DK39" i="43" s="1"/>
  <c r="DL39" i="43" s="1"/>
  <c r="DM39" i="43" s="1"/>
  <c r="DN39" i="43" s="1"/>
  <c r="DI58" i="43"/>
  <c r="DI59" i="43" s="1"/>
  <c r="DD11" i="43" s="1"/>
  <c r="X11" i="43"/>
  <c r="AA11" i="43"/>
  <c r="CK10" i="43"/>
  <c r="CL10" i="43" s="1"/>
  <c r="DX36" i="43"/>
  <c r="CE10" i="43"/>
  <c r="BO10" i="43"/>
  <c r="DU37" i="43"/>
  <c r="DY46" i="45" l="1"/>
  <c r="AQ18" i="45"/>
  <c r="Z18" i="45"/>
  <c r="CR20" i="45"/>
  <c r="DU47" i="45"/>
  <c r="DV47" i="45" s="1"/>
  <c r="BU19" i="45"/>
  <c r="BV19" i="45" s="1"/>
  <c r="BX19" i="45" s="1"/>
  <c r="CA19" i="45"/>
  <c r="CB19" i="45" s="1"/>
  <c r="CO19" i="45"/>
  <c r="CP19" i="45" s="1"/>
  <c r="AW19" i="45"/>
  <c r="DO39" i="43"/>
  <c r="DP39" i="43" s="1"/>
  <c r="DQ39" i="43" s="1"/>
  <c r="DR39" i="43" s="1"/>
  <c r="DS39" i="43" s="1"/>
  <c r="DT39" i="43" s="1"/>
  <c r="DU39" i="43" s="1"/>
  <c r="DV39" i="43" s="1"/>
  <c r="DW39" i="43" s="1"/>
  <c r="DX39" i="43" s="1"/>
  <c r="DY39" i="43" s="1"/>
  <c r="DZ39" i="43" s="1"/>
  <c r="DN57" i="43"/>
  <c r="DC15" i="43" s="1"/>
  <c r="AQ10" i="43"/>
  <c r="Z10" i="43"/>
  <c r="CR12" i="43"/>
  <c r="BP10" i="43"/>
  <c r="DY36" i="43"/>
  <c r="CM10" i="43"/>
  <c r="W10" i="43" s="1"/>
  <c r="BZ11" i="43"/>
  <c r="DV37" i="43"/>
  <c r="DW47" i="45" l="1"/>
  <c r="DX47" i="45" s="1"/>
  <c r="DV57" i="45"/>
  <c r="DC23" i="45" s="1"/>
  <c r="CC19" i="45"/>
  <c r="DB19" i="45" s="1"/>
  <c r="DR48" i="45" s="1"/>
  <c r="CT20" i="45"/>
  <c r="DZ46" i="45"/>
  <c r="BC19" i="45"/>
  <c r="BD19" i="45" s="1"/>
  <c r="BE19" i="45" s="1"/>
  <c r="BF19" i="45" s="1"/>
  <c r="CQ19" i="45"/>
  <c r="Y19" i="45" s="1"/>
  <c r="CY19" i="45"/>
  <c r="CZ19" i="45" s="1"/>
  <c r="CH19" i="45" s="1"/>
  <c r="CI19" i="45" s="1"/>
  <c r="CT12" i="43"/>
  <c r="DW37" i="43"/>
  <c r="AW11" i="43"/>
  <c r="CO11" i="43"/>
  <c r="CP11" i="43" s="1"/>
  <c r="BU11" i="43"/>
  <c r="BV11" i="43" s="1"/>
  <c r="BX11" i="43" s="1"/>
  <c r="CA11" i="43"/>
  <c r="CB11" i="43" s="1"/>
  <c r="V11" i="43"/>
  <c r="C37" i="38" s="1"/>
  <c r="DZ36" i="43"/>
  <c r="CD19" i="45" l="1"/>
  <c r="CF19" i="45" s="1"/>
  <c r="CJ19" i="45" s="1"/>
  <c r="X20" i="45"/>
  <c r="AA20" i="45"/>
  <c r="DS48" i="45"/>
  <c r="DR58" i="45"/>
  <c r="DR59" i="45" s="1"/>
  <c r="DD20" i="45" s="1"/>
  <c r="BM19" i="45"/>
  <c r="BN19" i="45" s="1"/>
  <c r="BO19" i="45" s="1"/>
  <c r="DY47" i="45"/>
  <c r="CQ11" i="43"/>
  <c r="Y11" i="43" s="1"/>
  <c r="CY11" i="43"/>
  <c r="CZ11" i="43" s="1"/>
  <c r="CH11" i="43" s="1"/>
  <c r="CI11" i="43" s="1"/>
  <c r="DX37" i="43"/>
  <c r="BC11" i="43"/>
  <c r="BD11" i="43" s="1"/>
  <c r="BE11" i="43" s="1"/>
  <c r="BF11" i="43" s="1"/>
  <c r="CC11" i="43"/>
  <c r="X12" i="43"/>
  <c r="AA12" i="43"/>
  <c r="AQ19" i="45" l="1"/>
  <c r="Z19" i="45"/>
  <c r="CR21" i="45"/>
  <c r="DZ47" i="45"/>
  <c r="BP19" i="45"/>
  <c r="DT48" i="45"/>
  <c r="CE19" i="45"/>
  <c r="CK19" i="45"/>
  <c r="CL19" i="45" s="1"/>
  <c r="BM11" i="43"/>
  <c r="BN11" i="43" s="1"/>
  <c r="BO11" i="43" s="1"/>
  <c r="DB11" i="43"/>
  <c r="DJ40" i="43" s="1"/>
  <c r="CD11" i="43"/>
  <c r="DY37" i="43"/>
  <c r="DU48" i="45" l="1"/>
  <c r="CT21" i="45"/>
  <c r="BZ20" i="45"/>
  <c r="V20" i="45" s="1"/>
  <c r="CM19" i="45"/>
  <c r="W19" i="45" s="1"/>
  <c r="CF11" i="43"/>
  <c r="CJ11" i="43" s="1"/>
  <c r="DK40" i="43"/>
  <c r="DL40" i="43" s="1"/>
  <c r="DM40" i="43" s="1"/>
  <c r="DN40" i="43" s="1"/>
  <c r="DO40" i="43" s="1"/>
  <c r="DJ58" i="43"/>
  <c r="DJ59" i="43" s="1"/>
  <c r="DD12" i="43" s="1"/>
  <c r="AQ11" i="43"/>
  <c r="Z11" i="43"/>
  <c r="CR13" i="43"/>
  <c r="DZ37" i="43"/>
  <c r="BP11" i="43"/>
  <c r="AA21" i="45" l="1"/>
  <c r="X21" i="45"/>
  <c r="DV48" i="45"/>
  <c r="DW48" i="45" s="1"/>
  <c r="CA20" i="45"/>
  <c r="CB20" i="45" s="1"/>
  <c r="CO20" i="45"/>
  <c r="CP20" i="45" s="1"/>
  <c r="BU20" i="45"/>
  <c r="BV20" i="45" s="1"/>
  <c r="BX20" i="45" s="1"/>
  <c r="AW20" i="45"/>
  <c r="DP40" i="43"/>
  <c r="DQ40" i="43" s="1"/>
  <c r="DR40" i="43" s="1"/>
  <c r="DS40" i="43" s="1"/>
  <c r="DT40" i="43" s="1"/>
  <c r="DU40" i="43" s="1"/>
  <c r="DV40" i="43" s="1"/>
  <c r="DW40" i="43" s="1"/>
  <c r="DX40" i="43" s="1"/>
  <c r="DY40" i="43" s="1"/>
  <c r="DZ40" i="43" s="1"/>
  <c r="DO57" i="43"/>
  <c r="DC16" i="43" s="1"/>
  <c r="CT13" i="43"/>
  <c r="CK11" i="43"/>
  <c r="CL11" i="43" s="1"/>
  <c r="CE11" i="43"/>
  <c r="DX48" i="45" l="1"/>
  <c r="DY48" i="45" s="1"/>
  <c r="DW57" i="45"/>
  <c r="DC24" i="45" s="1"/>
  <c r="BC20" i="45"/>
  <c r="BD20" i="45" s="1"/>
  <c r="BE20" i="45" s="1"/>
  <c r="BF20" i="45" s="1"/>
  <c r="CY20" i="45"/>
  <c r="CZ20" i="45" s="1"/>
  <c r="CH20" i="45" s="1"/>
  <c r="CI20" i="45" s="1"/>
  <c r="CQ20" i="45"/>
  <c r="Y20" i="45" s="1"/>
  <c r="CC20" i="45"/>
  <c r="CM11" i="43"/>
  <c r="W11" i="43" s="1"/>
  <c r="BZ12" i="43"/>
  <c r="AA13" i="43"/>
  <c r="X13" i="43"/>
  <c r="BM20" i="45" l="1"/>
  <c r="BN20" i="45" s="1"/>
  <c r="BO20" i="45" s="1"/>
  <c r="AQ20" i="45" s="1"/>
  <c r="DZ48" i="45"/>
  <c r="DB20" i="45"/>
  <c r="DS49" i="45" s="1"/>
  <c r="CD20" i="45"/>
  <c r="CO12" i="43"/>
  <c r="CP12" i="43" s="1"/>
  <c r="CA12" i="43"/>
  <c r="CB12" i="43" s="1"/>
  <c r="AW12" i="43"/>
  <c r="BU12" i="43"/>
  <c r="BV12" i="43" s="1"/>
  <c r="BX12" i="43" s="1"/>
  <c r="V12" i="43"/>
  <c r="C38" i="38" s="1"/>
  <c r="BP20" i="45" l="1"/>
  <c r="DT49" i="45"/>
  <c r="DS58" i="45"/>
  <c r="DS59" i="45" s="1"/>
  <c r="DD21" i="45" s="1"/>
  <c r="Z20" i="45"/>
  <c r="CR22" i="45"/>
  <c r="CT22" i="45" s="1"/>
  <c r="CF20" i="45"/>
  <c r="CJ20" i="45" s="1"/>
  <c r="CK20" i="45" s="1"/>
  <c r="CL20" i="45" s="1"/>
  <c r="CC12" i="43"/>
  <c r="BC12" i="43"/>
  <c r="BD12" i="43" s="1"/>
  <c r="BE12" i="43" s="1"/>
  <c r="BF12" i="43" s="1"/>
  <c r="CQ12" i="43"/>
  <c r="Y12" i="43" s="1"/>
  <c r="CY12" i="43"/>
  <c r="CZ12" i="43" s="1"/>
  <c r="CH12" i="43" s="1"/>
  <c r="CI12" i="43" s="1"/>
  <c r="CE20" i="45" l="1"/>
  <c r="X22" i="45"/>
  <c r="AA22" i="45"/>
  <c r="DU49" i="45"/>
  <c r="CM20" i="45"/>
  <c r="W20" i="45" s="1"/>
  <c r="BZ21" i="45"/>
  <c r="V21" i="45" s="1"/>
  <c r="BM12" i="43"/>
  <c r="BN12" i="43" s="1"/>
  <c r="DB12" i="43"/>
  <c r="DK41" i="43" s="1"/>
  <c r="CD12" i="43"/>
  <c r="DV49" i="45" l="1"/>
  <c r="T55" i="45"/>
  <c r="R24" i="45"/>
  <c r="CA21" i="45"/>
  <c r="CB21" i="45" s="1"/>
  <c r="CO21" i="45"/>
  <c r="CP21" i="45" s="1"/>
  <c r="AW21" i="45"/>
  <c r="BU21" i="45"/>
  <c r="BV21" i="45" s="1"/>
  <c r="BX21" i="45" s="1"/>
  <c r="CF12" i="43"/>
  <c r="CJ12" i="43" s="1"/>
  <c r="DL41" i="43"/>
  <c r="DM41" i="43" s="1"/>
  <c r="DN41" i="43" s="1"/>
  <c r="DO41" i="43" s="1"/>
  <c r="DP41" i="43" s="1"/>
  <c r="DK58" i="43"/>
  <c r="DK59" i="43" s="1"/>
  <c r="DD13" i="43" s="1"/>
  <c r="BO12" i="43"/>
  <c r="DW49" i="45" l="1"/>
  <c r="DX49" i="45" s="1"/>
  <c r="CY21" i="45"/>
  <c r="CZ21" i="45" s="1"/>
  <c r="CH21" i="45" s="1"/>
  <c r="CI21" i="45" s="1"/>
  <c r="CQ21" i="45"/>
  <c r="Y21" i="45" s="1"/>
  <c r="BC21" i="45"/>
  <c r="BD21" i="45" s="1"/>
  <c r="BE21" i="45" s="1"/>
  <c r="BF21" i="45" s="1"/>
  <c r="CC21" i="45"/>
  <c r="CK12" i="43"/>
  <c r="CL12" i="43" s="1"/>
  <c r="DQ41" i="43"/>
  <c r="DR41" i="43" s="1"/>
  <c r="DS41" i="43" s="1"/>
  <c r="DT41" i="43" s="1"/>
  <c r="DU41" i="43" s="1"/>
  <c r="DV41" i="43" s="1"/>
  <c r="DW41" i="43" s="1"/>
  <c r="DX41" i="43" s="1"/>
  <c r="DY41" i="43" s="1"/>
  <c r="DZ41" i="43" s="1"/>
  <c r="DP57" i="43"/>
  <c r="DC17" i="43" s="1"/>
  <c r="AQ12" i="43"/>
  <c r="Z12" i="43"/>
  <c r="CR14" i="43"/>
  <c r="BP12" i="43"/>
  <c r="CE12" i="43"/>
  <c r="DY49" i="45" l="1"/>
  <c r="DX57" i="45"/>
  <c r="DC25" i="45" s="1"/>
  <c r="BM21" i="45"/>
  <c r="BN21" i="45" s="1"/>
  <c r="DB21" i="45"/>
  <c r="DT50" i="45" s="1"/>
  <c r="CD21" i="45"/>
  <c r="CM12" i="43"/>
  <c r="W12" i="43" s="1"/>
  <c r="BZ13" i="43"/>
  <c r="CT14" i="43"/>
  <c r="DU50" i="45" l="1"/>
  <c r="DT58" i="45"/>
  <c r="DT59" i="45" s="1"/>
  <c r="DD22" i="45" s="1"/>
  <c r="DZ49" i="45"/>
  <c r="CF21" i="45"/>
  <c r="CJ21" i="45" s="1"/>
  <c r="BO21" i="45"/>
  <c r="Z21" i="45" s="1"/>
  <c r="CA13" i="43"/>
  <c r="CB13" i="43" s="1"/>
  <c r="CO13" i="43"/>
  <c r="CP13" i="43" s="1"/>
  <c r="AW13" i="43"/>
  <c r="BU13" i="43"/>
  <c r="BV13" i="43" s="1"/>
  <c r="BX13" i="43" s="1"/>
  <c r="V13" i="43"/>
  <c r="C39" i="38" s="1"/>
  <c r="X14" i="43"/>
  <c r="AA14" i="43"/>
  <c r="DV50" i="45" l="1"/>
  <c r="CR23" i="45"/>
  <c r="AQ21" i="45"/>
  <c r="BP21" i="45"/>
  <c r="CE21" i="45"/>
  <c r="CK21" i="45"/>
  <c r="CL21" i="45" s="1"/>
  <c r="BC13" i="43"/>
  <c r="BD13" i="43" s="1"/>
  <c r="BE13" i="43" s="1"/>
  <c r="BF13" i="43" s="1"/>
  <c r="CQ13" i="43"/>
  <c r="Y13" i="43" s="1"/>
  <c r="CY13" i="43"/>
  <c r="CZ13" i="43" s="1"/>
  <c r="CH13" i="43" s="1"/>
  <c r="CI13" i="43" s="1"/>
  <c r="CC13" i="43"/>
  <c r="DW50" i="45" l="1"/>
  <c r="CM21" i="45"/>
  <c r="W21" i="45" s="1"/>
  <c r="BZ22" i="45"/>
  <c r="V22" i="45" s="1"/>
  <c r="CT23" i="45"/>
  <c r="DB13" i="43"/>
  <c r="DL42" i="43" s="1"/>
  <c r="CD13" i="43"/>
  <c r="BM13" i="43"/>
  <c r="BN13" i="43" s="1"/>
  <c r="DX50" i="45" l="1"/>
  <c r="DY50" i="45" s="1"/>
  <c r="X23" i="45"/>
  <c r="AA23" i="45"/>
  <c r="AW22" i="45"/>
  <c r="BC22" i="45" s="1"/>
  <c r="BM22" i="45" s="1"/>
  <c r="BN22" i="45" s="1"/>
  <c r="BU22" i="45"/>
  <c r="BV22" i="45" s="1"/>
  <c r="BX22" i="45" s="1"/>
  <c r="CA22" i="45"/>
  <c r="CB22" i="45" s="1"/>
  <c r="CO22" i="45"/>
  <c r="CP22" i="45" s="1"/>
  <c r="BO13" i="43"/>
  <c r="CF13" i="43"/>
  <c r="CJ13" i="43" s="1"/>
  <c r="DM42" i="43"/>
  <c r="DN42" i="43" s="1"/>
  <c r="DO42" i="43" s="1"/>
  <c r="DP42" i="43" s="1"/>
  <c r="DQ42" i="43" s="1"/>
  <c r="DL58" i="43"/>
  <c r="DL59" i="43" s="1"/>
  <c r="DD14" i="43" s="1"/>
  <c r="DZ50" i="45" l="1"/>
  <c r="DY57" i="45"/>
  <c r="DC26" i="45" s="1"/>
  <c r="BO22" i="45"/>
  <c r="BP22" i="45" s="1"/>
  <c r="CQ22" i="45"/>
  <c r="Y22" i="45" s="1"/>
  <c r="CY22" i="45"/>
  <c r="CZ22" i="45" s="1"/>
  <c r="CH22" i="45" s="1"/>
  <c r="CI22" i="45" s="1"/>
  <c r="CC22" i="45"/>
  <c r="CK13" i="43"/>
  <c r="CL13" i="43" s="1"/>
  <c r="CE13" i="43"/>
  <c r="AQ13" i="43"/>
  <c r="Z13" i="43"/>
  <c r="CR15" i="43"/>
  <c r="DR42" i="43"/>
  <c r="DS42" i="43" s="1"/>
  <c r="DT42" i="43" s="1"/>
  <c r="DU42" i="43" s="1"/>
  <c r="DV42" i="43" s="1"/>
  <c r="DW42" i="43" s="1"/>
  <c r="DX42" i="43" s="1"/>
  <c r="DY42" i="43" s="1"/>
  <c r="DZ42" i="43" s="1"/>
  <c r="DQ57" i="43"/>
  <c r="DC18" i="43" s="1"/>
  <c r="BP13" i="43"/>
  <c r="AQ22" i="45" l="1"/>
  <c r="Z22" i="45"/>
  <c r="CR24" i="45"/>
  <c r="DB22" i="45"/>
  <c r="DU51" i="45" s="1"/>
  <c r="CD22" i="45"/>
  <c r="CT15" i="43"/>
  <c r="CM13" i="43"/>
  <c r="W13" i="43" s="1"/>
  <c r="BZ14" i="43"/>
  <c r="DV51" i="45" l="1"/>
  <c r="DU58" i="45"/>
  <c r="DU59" i="45" s="1"/>
  <c r="DD23" i="45" s="1"/>
  <c r="CR25" i="45"/>
  <c r="CF22" i="45"/>
  <c r="CJ22" i="45" s="1"/>
  <c r="CA14" i="43"/>
  <c r="CB14" i="43" s="1"/>
  <c r="AW14" i="43"/>
  <c r="BU14" i="43"/>
  <c r="BV14" i="43" s="1"/>
  <c r="BX14" i="43" s="1"/>
  <c r="CO14" i="43"/>
  <c r="CP14" i="43" s="1"/>
  <c r="V14" i="43"/>
  <c r="C40" i="38" s="1"/>
  <c r="AA15" i="43"/>
  <c r="X15" i="43"/>
  <c r="CE22" i="45" l="1"/>
  <c r="CR26" i="45"/>
  <c r="DW51" i="45"/>
  <c r="CK22" i="45"/>
  <c r="CL22" i="45" s="1"/>
  <c r="CQ14" i="43"/>
  <c r="Y14" i="43" s="1"/>
  <c r="CY14" i="43"/>
  <c r="CZ14" i="43" s="1"/>
  <c r="CH14" i="43" s="1"/>
  <c r="CI14" i="43" s="1"/>
  <c r="BC14" i="43"/>
  <c r="BD14" i="43" s="1"/>
  <c r="BE14" i="43" s="1"/>
  <c r="BF14" i="43" s="1"/>
  <c r="CC14" i="43"/>
  <c r="DX51" i="45" l="1"/>
  <c r="CR27" i="45"/>
  <c r="CM22" i="45"/>
  <c r="W22" i="45" s="1"/>
  <c r="BZ23" i="45"/>
  <c r="V23" i="45" s="1"/>
  <c r="BM14" i="43"/>
  <c r="BN14" i="43" s="1"/>
  <c r="BO14" i="43" s="1"/>
  <c r="DB14" i="43"/>
  <c r="DM43" i="43" s="1"/>
  <c r="CD14" i="43"/>
  <c r="CR28" i="45" l="1"/>
  <c r="DY51" i="45"/>
  <c r="DZ51" i="45" s="1"/>
  <c r="DZ57" i="45" s="1"/>
  <c r="CO23" i="45"/>
  <c r="CP23" i="45" s="1"/>
  <c r="BU23" i="45"/>
  <c r="BV23" i="45" s="1"/>
  <c r="BX23" i="45" s="1"/>
  <c r="AW23" i="45"/>
  <c r="BC23" i="45" s="1"/>
  <c r="BM23" i="45" s="1"/>
  <c r="BN23" i="45" s="1"/>
  <c r="CA23" i="45"/>
  <c r="CB23" i="45" s="1"/>
  <c r="DN43" i="43"/>
  <c r="DO43" i="43" s="1"/>
  <c r="DP43" i="43" s="1"/>
  <c r="DQ43" i="43" s="1"/>
  <c r="DR43" i="43" s="1"/>
  <c r="DM58" i="43"/>
  <c r="DM59" i="43" s="1"/>
  <c r="DD15" i="43" s="1"/>
  <c r="CF14" i="43"/>
  <c r="CJ14" i="43" s="1"/>
  <c r="AQ14" i="43"/>
  <c r="Z14" i="43"/>
  <c r="CR16" i="43"/>
  <c r="BP14" i="43"/>
  <c r="DC28" i="45" l="1"/>
  <c r="DC27" i="45"/>
  <c r="BO23" i="45"/>
  <c r="CY23" i="45"/>
  <c r="CZ23" i="45" s="1"/>
  <c r="CH23" i="45" s="1"/>
  <c r="CI23" i="45" s="1"/>
  <c r="CQ23" i="45"/>
  <c r="Y23" i="45" s="1"/>
  <c r="CC23" i="45"/>
  <c r="CK14" i="43"/>
  <c r="CL14" i="43" s="1"/>
  <c r="CE14" i="43"/>
  <c r="CT16" i="43"/>
  <c r="DS43" i="43"/>
  <c r="DT43" i="43" s="1"/>
  <c r="DU43" i="43" s="1"/>
  <c r="DV43" i="43" s="1"/>
  <c r="DW43" i="43" s="1"/>
  <c r="DX43" i="43" s="1"/>
  <c r="DY43" i="43" s="1"/>
  <c r="DZ43" i="43" s="1"/>
  <c r="DR57" i="43"/>
  <c r="DC19" i="43" s="1"/>
  <c r="AQ23" i="45" l="1"/>
  <c r="Z23" i="45"/>
  <c r="BP23" i="45"/>
  <c r="DB23" i="45"/>
  <c r="DV52" i="45" s="1"/>
  <c r="CD23" i="45"/>
  <c r="X16" i="43"/>
  <c r="AA16" i="43"/>
  <c r="CM14" i="43"/>
  <c r="W14" i="43" s="1"/>
  <c r="BZ15" i="43"/>
  <c r="DW52" i="45" l="1"/>
  <c r="DV58" i="45"/>
  <c r="DV59" i="45" s="1"/>
  <c r="DD24" i="45" s="1"/>
  <c r="CF23" i="45"/>
  <c r="CJ23" i="45" s="1"/>
  <c r="BU15" i="43"/>
  <c r="BV15" i="43" s="1"/>
  <c r="BX15" i="43" s="1"/>
  <c r="CO15" i="43"/>
  <c r="CP15" i="43" s="1"/>
  <c r="AW15" i="43"/>
  <c r="CA15" i="43"/>
  <c r="CB15" i="43" s="1"/>
  <c r="V15" i="43"/>
  <c r="C41" i="38" s="1"/>
  <c r="CE23" i="45" l="1"/>
  <c r="DX52" i="45"/>
  <c r="CK23" i="45"/>
  <c r="CL23" i="45" s="1"/>
  <c r="CC15" i="43"/>
  <c r="DB15" i="43" s="1"/>
  <c r="DN44" i="43" s="1"/>
  <c r="DO44" i="43" s="1"/>
  <c r="DP44" i="43" s="1"/>
  <c r="DQ44" i="43" s="1"/>
  <c r="DR44" i="43" s="1"/>
  <c r="DS44" i="43" s="1"/>
  <c r="BC15" i="43"/>
  <c r="BD15" i="43" s="1"/>
  <c r="BE15" i="43" s="1"/>
  <c r="BF15" i="43" s="1"/>
  <c r="CQ15" i="43"/>
  <c r="Y15" i="43" s="1"/>
  <c r="CY15" i="43"/>
  <c r="CZ15" i="43" s="1"/>
  <c r="CH15" i="43" s="1"/>
  <c r="CI15" i="43" s="1"/>
  <c r="DY52" i="45" l="1"/>
  <c r="BZ24" i="45"/>
  <c r="CM23" i="45"/>
  <c r="W23" i="45" s="1"/>
  <c r="CD15" i="43"/>
  <c r="CF15" i="43" s="1"/>
  <c r="CJ15" i="43" s="1"/>
  <c r="DN58" i="43"/>
  <c r="DN59" i="43" s="1"/>
  <c r="DD16" i="43" s="1"/>
  <c r="BM15" i="43"/>
  <c r="BN15" i="43" s="1"/>
  <c r="DT44" i="43"/>
  <c r="DU44" i="43" s="1"/>
  <c r="DV44" i="43" s="1"/>
  <c r="DW44" i="43" s="1"/>
  <c r="DX44" i="43" s="1"/>
  <c r="DY44" i="43" s="1"/>
  <c r="DZ44" i="43" s="1"/>
  <c r="DS57" i="43"/>
  <c r="DC20" i="43" s="1"/>
  <c r="DZ52" i="45" l="1"/>
  <c r="CA24" i="45"/>
  <c r="CB24" i="45" s="1"/>
  <c r="BU24" i="45"/>
  <c r="BV24" i="45" s="1"/>
  <c r="BX24" i="45" s="1"/>
  <c r="AW24" i="45"/>
  <c r="BC24" i="45" s="1"/>
  <c r="BM24" i="45" s="1"/>
  <c r="BN24" i="45" s="1"/>
  <c r="CO24" i="45"/>
  <c r="CP24" i="45" s="1"/>
  <c r="CS24" i="45" s="1"/>
  <c r="BO15" i="43"/>
  <c r="CK15" i="43"/>
  <c r="CL15" i="43" s="1"/>
  <c r="CE15" i="43"/>
  <c r="CS25" i="45" l="1"/>
  <c r="CT24" i="45"/>
  <c r="V24" i="45" s="1"/>
  <c r="BO24" i="45"/>
  <c r="AQ24" i="45" s="1"/>
  <c r="CC24" i="45"/>
  <c r="CY24" i="45"/>
  <c r="CZ24" i="45" s="1"/>
  <c r="CH24" i="45" s="1"/>
  <c r="CI24" i="45" s="1"/>
  <c r="CQ24" i="45"/>
  <c r="AQ15" i="43"/>
  <c r="Z15" i="43"/>
  <c r="CR17" i="43"/>
  <c r="CM15" i="43"/>
  <c r="W15" i="43" s="1"/>
  <c r="BZ16" i="43"/>
  <c r="BP15" i="43"/>
  <c r="Y24" i="45" l="1"/>
  <c r="BP24" i="45"/>
  <c r="X24" i="45"/>
  <c r="Z24" i="45"/>
  <c r="AA24" i="45"/>
  <c r="CS26" i="45"/>
  <c r="CT25" i="45"/>
  <c r="V25" i="45" s="1"/>
  <c r="DB24" i="45"/>
  <c r="DW53" i="45" s="1"/>
  <c r="CD24" i="45"/>
  <c r="CT17" i="43"/>
  <c r="CA16" i="43"/>
  <c r="CB16" i="43" s="1"/>
  <c r="BU16" i="43"/>
  <c r="BV16" i="43" s="1"/>
  <c r="BX16" i="43" s="1"/>
  <c r="CO16" i="43"/>
  <c r="CP16" i="43" s="1"/>
  <c r="AW16" i="43"/>
  <c r="V16" i="43"/>
  <c r="C42" i="38" s="1"/>
  <c r="DX53" i="45" l="1"/>
  <c r="DW58" i="45"/>
  <c r="DW59" i="45" s="1"/>
  <c r="DD25" i="45" s="1"/>
  <c r="Z25" i="45"/>
  <c r="AA25" i="45"/>
  <c r="W25" i="45"/>
  <c r="X25" i="45"/>
  <c r="Y25" i="45"/>
  <c r="CS27" i="45"/>
  <c r="CT26" i="45"/>
  <c r="V26" i="45" s="1"/>
  <c r="CF24" i="45"/>
  <c r="CJ24" i="45" s="1"/>
  <c r="CK24" i="45" s="1"/>
  <c r="CL24" i="45" s="1"/>
  <c r="CC16" i="43"/>
  <c r="BC16" i="43"/>
  <c r="BD16" i="43" s="1"/>
  <c r="BE16" i="43" s="1"/>
  <c r="BF16" i="43" s="1"/>
  <c r="CY16" i="43"/>
  <c r="CZ16" i="43" s="1"/>
  <c r="CH16" i="43" s="1"/>
  <c r="CI16" i="43" s="1"/>
  <c r="CQ16" i="43"/>
  <c r="Y16" i="43" s="1"/>
  <c r="X17" i="43"/>
  <c r="AA17" i="43"/>
  <c r="Y26" i="45" l="1"/>
  <c r="X26" i="45"/>
  <c r="W26" i="45"/>
  <c r="Z26" i="45"/>
  <c r="AA26" i="45"/>
  <c r="CE24" i="45"/>
  <c r="CS28" i="45"/>
  <c r="CT28" i="45" s="1"/>
  <c r="V28" i="45" s="1"/>
  <c r="CT27" i="45"/>
  <c r="V27" i="45" s="1"/>
  <c r="DY53" i="45"/>
  <c r="BZ25" i="45"/>
  <c r="CM24" i="45"/>
  <c r="W24" i="45" s="1"/>
  <c r="BM16" i="43"/>
  <c r="BN16" i="43" s="1"/>
  <c r="BO16" i="43" s="1"/>
  <c r="BP16" i="43" s="1"/>
  <c r="DB16" i="43"/>
  <c r="DO45" i="43" s="1"/>
  <c r="CD16" i="43"/>
  <c r="Z28" i="45" l="1"/>
  <c r="Y28" i="45"/>
  <c r="X28" i="45"/>
  <c r="AA28" i="45"/>
  <c r="W28" i="45"/>
  <c r="DZ53" i="45"/>
  <c r="W27" i="45"/>
  <c r="X27" i="45"/>
  <c r="Y27" i="45"/>
  <c r="V29" i="45"/>
  <c r="Z27" i="45"/>
  <c r="AA27" i="45"/>
  <c r="BU25" i="45"/>
  <c r="BV25" i="45" s="1"/>
  <c r="BX25" i="45" s="1"/>
  <c r="CA25" i="45"/>
  <c r="CB25" i="45" s="1"/>
  <c r="CO25" i="45"/>
  <c r="CP25" i="45" s="1"/>
  <c r="AW25" i="45"/>
  <c r="BC25" i="45" s="1"/>
  <c r="BM25" i="45" s="1"/>
  <c r="BN25" i="45" s="1"/>
  <c r="CF16" i="43"/>
  <c r="CJ16" i="43" s="1"/>
  <c r="DP45" i="43"/>
  <c r="DQ45" i="43" s="1"/>
  <c r="DR45" i="43" s="1"/>
  <c r="DS45" i="43" s="1"/>
  <c r="DT45" i="43" s="1"/>
  <c r="DO58" i="43"/>
  <c r="DO59" i="43" s="1"/>
  <c r="DD17" i="43" s="1"/>
  <c r="AQ16" i="43"/>
  <c r="Z16" i="43"/>
  <c r="CR18" i="43"/>
  <c r="X29" i="45" l="1"/>
  <c r="CC25" i="45"/>
  <c r="DB25" i="45" s="1"/>
  <c r="DX54" i="45" s="1"/>
  <c r="BO25" i="45"/>
  <c r="AQ25" i="45" s="1"/>
  <c r="CQ25" i="45"/>
  <c r="CY25" i="45"/>
  <c r="CZ25" i="45" s="1"/>
  <c r="CH25" i="45" s="1"/>
  <c r="CT18" i="43"/>
  <c r="CK16" i="43"/>
  <c r="CL16" i="43" s="1"/>
  <c r="DU45" i="43"/>
  <c r="DV45" i="43" s="1"/>
  <c r="DW45" i="43" s="1"/>
  <c r="DX45" i="43" s="1"/>
  <c r="DY45" i="43" s="1"/>
  <c r="DZ45" i="43" s="1"/>
  <c r="DT57" i="43"/>
  <c r="DC21" i="43" s="1"/>
  <c r="CE16" i="43"/>
  <c r="BP25" i="45" l="1"/>
  <c r="CD25" i="45"/>
  <c r="CF25" i="45" s="1"/>
  <c r="CI25" i="45"/>
  <c r="DY54" i="45"/>
  <c r="DX58" i="45"/>
  <c r="DX59" i="45" s="1"/>
  <c r="DD26" i="45" s="1"/>
  <c r="CM16" i="43"/>
  <c r="W16" i="43" s="1"/>
  <c r="BZ17" i="43"/>
  <c r="X18" i="43"/>
  <c r="AA18" i="43"/>
  <c r="CJ25" i="45" l="1"/>
  <c r="CK25" i="45" s="1"/>
  <c r="CL25" i="45" s="1"/>
  <c r="BZ26" i="45" s="1"/>
  <c r="DZ54" i="45"/>
  <c r="CE25" i="45"/>
  <c r="CA17" i="43"/>
  <c r="CB17" i="43" s="1"/>
  <c r="BU17" i="43"/>
  <c r="BV17" i="43" s="1"/>
  <c r="BX17" i="43" s="1"/>
  <c r="AW17" i="43"/>
  <c r="CO17" i="43"/>
  <c r="CP17" i="43" s="1"/>
  <c r="V17" i="43"/>
  <c r="C43" i="38" s="1"/>
  <c r="CM25" i="45" l="1"/>
  <c r="CA26" i="45"/>
  <c r="CB26" i="45" s="1"/>
  <c r="AW26" i="45"/>
  <c r="BC26" i="45" s="1"/>
  <c r="BM26" i="45" s="1"/>
  <c r="BN26" i="45" s="1"/>
  <c r="CO26" i="45"/>
  <c r="CP26" i="45" s="1"/>
  <c r="BU26" i="45"/>
  <c r="BV26" i="45" s="1"/>
  <c r="BX26" i="45" s="1"/>
  <c r="CQ17" i="43"/>
  <c r="Y17" i="43" s="1"/>
  <c r="CY17" i="43"/>
  <c r="CZ17" i="43" s="1"/>
  <c r="CH17" i="43" s="1"/>
  <c r="CI17" i="43" s="1"/>
  <c r="BC17" i="43"/>
  <c r="BD17" i="43" s="1"/>
  <c r="BE17" i="43" s="1"/>
  <c r="BF17" i="43" s="1"/>
  <c r="CC17" i="43"/>
  <c r="BO26" i="45" l="1"/>
  <c r="BP26" i="45" s="1"/>
  <c r="CY26" i="45"/>
  <c r="CZ26" i="45" s="1"/>
  <c r="CH26" i="45" s="1"/>
  <c r="CQ26" i="45"/>
  <c r="CC26" i="45"/>
  <c r="BM17" i="43"/>
  <c r="BN17" i="43" s="1"/>
  <c r="DB17" i="43"/>
  <c r="DP46" i="43" s="1"/>
  <c r="CD17" i="43"/>
  <c r="CI26" i="45" l="1"/>
  <c r="AQ26" i="45"/>
  <c r="DB26" i="45"/>
  <c r="DY55" i="45" s="1"/>
  <c r="CD26" i="45"/>
  <c r="CF17" i="43"/>
  <c r="CJ17" i="43" s="1"/>
  <c r="DQ46" i="43"/>
  <c r="DR46" i="43" s="1"/>
  <c r="DS46" i="43" s="1"/>
  <c r="DT46" i="43" s="1"/>
  <c r="DU46" i="43" s="1"/>
  <c r="DP58" i="43"/>
  <c r="DP59" i="43" s="1"/>
  <c r="DD18" i="43" s="1"/>
  <c r="BO17" i="43"/>
  <c r="BP17" i="43" s="1"/>
  <c r="DZ55" i="45" l="1"/>
  <c r="DY58" i="45"/>
  <c r="DY59" i="45" s="1"/>
  <c r="CF26" i="45"/>
  <c r="CJ26" i="45" s="1"/>
  <c r="CK26" i="45" s="1"/>
  <c r="CL26" i="45" s="1"/>
  <c r="CK17" i="43"/>
  <c r="CL17" i="43" s="1"/>
  <c r="DV46" i="43"/>
  <c r="DW46" i="43" s="1"/>
  <c r="DX46" i="43" s="1"/>
  <c r="DY46" i="43" s="1"/>
  <c r="DZ46" i="43" s="1"/>
  <c r="DU57" i="43"/>
  <c r="DC22" i="43" s="1"/>
  <c r="AQ17" i="43"/>
  <c r="Z17" i="43"/>
  <c r="CR19" i="43"/>
  <c r="CE17" i="43"/>
  <c r="CE26" i="45" l="1"/>
  <c r="DD28" i="45"/>
  <c r="DD27" i="45"/>
  <c r="BZ27" i="45"/>
  <c r="CM26" i="45"/>
  <c r="CT19" i="43"/>
  <c r="CM17" i="43"/>
  <c r="W17" i="43" s="1"/>
  <c r="BZ18" i="43"/>
  <c r="CO27" i="45" l="1"/>
  <c r="CP27" i="45" s="1"/>
  <c r="CA27" i="45"/>
  <c r="CB27" i="45" s="1"/>
  <c r="AW27" i="45"/>
  <c r="BC27" i="45" s="1"/>
  <c r="BM27" i="45" s="1"/>
  <c r="BN27" i="45" s="1"/>
  <c r="BU27" i="45"/>
  <c r="BV27" i="45" s="1"/>
  <c r="BX27" i="45" s="1"/>
  <c r="BU18" i="43"/>
  <c r="BV18" i="43" s="1"/>
  <c r="BX18" i="43" s="1"/>
  <c r="AW18" i="43"/>
  <c r="CA18" i="43"/>
  <c r="CB18" i="43" s="1"/>
  <c r="CO18" i="43"/>
  <c r="CP18" i="43" s="1"/>
  <c r="V18" i="43"/>
  <c r="C44" i="38" s="1"/>
  <c r="AA19" i="43"/>
  <c r="X19" i="43"/>
  <c r="CC27" i="45" l="1"/>
  <c r="BO27" i="45"/>
  <c r="BP27" i="45" s="1"/>
  <c r="CQ27" i="45"/>
  <c r="CY27" i="45"/>
  <c r="CZ27" i="45" s="1"/>
  <c r="CH27" i="45" s="1"/>
  <c r="CC18" i="43"/>
  <c r="DB18" i="43" s="1"/>
  <c r="DQ47" i="43" s="1"/>
  <c r="DR47" i="43" s="1"/>
  <c r="DS47" i="43" s="1"/>
  <c r="DT47" i="43" s="1"/>
  <c r="DU47" i="43" s="1"/>
  <c r="DV47" i="43" s="1"/>
  <c r="CQ18" i="43"/>
  <c r="Y18" i="43" s="1"/>
  <c r="CY18" i="43"/>
  <c r="CZ18" i="43" s="1"/>
  <c r="CH18" i="43" s="1"/>
  <c r="CI18" i="43" s="1"/>
  <c r="BC18" i="43"/>
  <c r="BD18" i="43" s="1"/>
  <c r="BE18" i="43" s="1"/>
  <c r="BF18" i="43" s="1"/>
  <c r="AQ27" i="45" l="1"/>
  <c r="CI27" i="45"/>
  <c r="DB27" i="45"/>
  <c r="DZ56" i="45" s="1"/>
  <c r="DZ58" i="45" s="1"/>
  <c r="DZ59" i="45" s="1"/>
  <c r="CD27" i="45"/>
  <c r="CD18" i="43"/>
  <c r="CF18" i="43" s="1"/>
  <c r="CJ18" i="43" s="1"/>
  <c r="DQ58" i="43"/>
  <c r="DQ59" i="43" s="1"/>
  <c r="DD19" i="43" s="1"/>
  <c r="DW47" i="43"/>
  <c r="DX47" i="43" s="1"/>
  <c r="DY47" i="43" s="1"/>
  <c r="DZ47" i="43" s="1"/>
  <c r="DV57" i="43"/>
  <c r="DC23" i="43" s="1"/>
  <c r="BM18" i="43"/>
  <c r="BN18" i="43" s="1"/>
  <c r="CF27" i="45" l="1"/>
  <c r="CJ27" i="45" s="1"/>
  <c r="CK27" i="45" s="1"/>
  <c r="CL27" i="45" s="1"/>
  <c r="CK18" i="43"/>
  <c r="CL18" i="43" s="1"/>
  <c r="CE18" i="43"/>
  <c r="BO18" i="43"/>
  <c r="BP18" i="43" s="1"/>
  <c r="CE27" i="45" l="1"/>
  <c r="BZ28" i="45"/>
  <c r="CM27" i="45"/>
  <c r="CM18" i="43"/>
  <c r="W18" i="43" s="1"/>
  <c r="BZ19" i="43"/>
  <c r="AQ18" i="43"/>
  <c r="Z18" i="43"/>
  <c r="CR20" i="43"/>
  <c r="BU28" i="45" l="1"/>
  <c r="BV28" i="45" s="1"/>
  <c r="BX28" i="45" s="1"/>
  <c r="AW28" i="45"/>
  <c r="BC28" i="45" s="1"/>
  <c r="BM28" i="45" s="1"/>
  <c r="BN28" i="45" s="1"/>
  <c r="CA28" i="45"/>
  <c r="CB28" i="45" s="1"/>
  <c r="CO28" i="45"/>
  <c r="AW19" i="43"/>
  <c r="BU19" i="43"/>
  <c r="BV19" i="43" s="1"/>
  <c r="BX19" i="43" s="1"/>
  <c r="CA19" i="43"/>
  <c r="CB19" i="43" s="1"/>
  <c r="CO19" i="43"/>
  <c r="CP19" i="43" s="1"/>
  <c r="V19" i="43"/>
  <c r="C45" i="38" s="1"/>
  <c r="CT20" i="43"/>
  <c r="CC28" i="45" l="1"/>
  <c r="DB28" i="45" s="1"/>
  <c r="CP28" i="45"/>
  <c r="BO28" i="45"/>
  <c r="BP28" i="45" s="1"/>
  <c r="CC19" i="43"/>
  <c r="DB19" i="43" s="1"/>
  <c r="DR48" i="43" s="1"/>
  <c r="DS48" i="43" s="1"/>
  <c r="DT48" i="43" s="1"/>
  <c r="DU48" i="43" s="1"/>
  <c r="DV48" i="43" s="1"/>
  <c r="DW48" i="43" s="1"/>
  <c r="CQ19" i="43"/>
  <c r="Y19" i="43" s="1"/>
  <c r="CY19" i="43"/>
  <c r="CZ19" i="43" s="1"/>
  <c r="CH19" i="43" s="1"/>
  <c r="CI19" i="43" s="1"/>
  <c r="AA20" i="43"/>
  <c r="X20" i="43"/>
  <c r="BC19" i="43"/>
  <c r="BD19" i="43" s="1"/>
  <c r="BE19" i="43" s="1"/>
  <c r="BF19" i="43" s="1"/>
  <c r="CD28" i="45" l="1"/>
  <c r="CF28" i="45" s="1"/>
  <c r="CE28" i="45" s="1"/>
  <c r="CY28" i="45"/>
  <c r="CZ28" i="45" s="1"/>
  <c r="CH28" i="45" s="1"/>
  <c r="CQ28" i="45"/>
  <c r="AQ28" i="45"/>
  <c r="BO29" i="45"/>
  <c r="DR58" i="43"/>
  <c r="DR59" i="43" s="1"/>
  <c r="DD20" i="43" s="1"/>
  <c r="CD19" i="43"/>
  <c r="CF19" i="43" s="1"/>
  <c r="CJ19" i="43" s="1"/>
  <c r="DX48" i="43"/>
  <c r="DY48" i="43" s="1"/>
  <c r="DZ48" i="43" s="1"/>
  <c r="DW57" i="43"/>
  <c r="DC24" i="43" s="1"/>
  <c r="BM19" i="43"/>
  <c r="BN19" i="43" s="1"/>
  <c r="CI28" i="45" l="1"/>
  <c r="CJ28" i="45" s="1"/>
  <c r="CL28" i="45" s="1"/>
  <c r="CM28" i="45" s="1"/>
  <c r="CH29" i="45"/>
  <c r="CI29" i="45" s="1"/>
  <c r="CK19" i="43"/>
  <c r="CL19" i="43" s="1"/>
  <c r="CE19" i="43"/>
  <c r="BO19" i="43"/>
  <c r="AQ19" i="43" l="1"/>
  <c r="Z19" i="43"/>
  <c r="CR21" i="43"/>
  <c r="CM19" i="43"/>
  <c r="W19" i="43" s="1"/>
  <c r="BZ20" i="43"/>
  <c r="BP19" i="43"/>
  <c r="CT21" i="43" l="1"/>
  <c r="AW20" i="43"/>
  <c r="CA20" i="43"/>
  <c r="CB20" i="43" s="1"/>
  <c r="CO20" i="43"/>
  <c r="CP20" i="43" s="1"/>
  <c r="BU20" i="43"/>
  <c r="BV20" i="43" s="1"/>
  <c r="BX20" i="43" s="1"/>
  <c r="V20" i="43"/>
  <c r="C46" i="38" s="1"/>
  <c r="CC20" i="43" l="1"/>
  <c r="BC20" i="43"/>
  <c r="BD20" i="43" s="1"/>
  <c r="BE20" i="43" s="1"/>
  <c r="BF20" i="43" s="1"/>
  <c r="CQ20" i="43"/>
  <c r="Y20" i="43" s="1"/>
  <c r="CY20" i="43"/>
  <c r="CZ20" i="43" s="1"/>
  <c r="CH20" i="43" s="1"/>
  <c r="CI20" i="43" s="1"/>
  <c r="X21" i="43"/>
  <c r="AA21" i="43"/>
  <c r="BM20" i="43" l="1"/>
  <c r="BN20" i="43" s="1"/>
  <c r="BO20" i="43" s="1"/>
  <c r="DB20" i="43"/>
  <c r="DS49" i="43" s="1"/>
  <c r="CD20" i="43"/>
  <c r="DT49" i="43" l="1"/>
  <c r="DU49" i="43" s="1"/>
  <c r="DV49" i="43" s="1"/>
  <c r="DW49" i="43" s="1"/>
  <c r="DX49" i="43" s="1"/>
  <c r="DS58" i="43"/>
  <c r="DS59" i="43" s="1"/>
  <c r="DD21" i="43" s="1"/>
  <c r="CF20" i="43"/>
  <c r="CJ20" i="43" s="1"/>
  <c r="AQ20" i="43"/>
  <c r="Z20" i="43"/>
  <c r="CR22" i="43"/>
  <c r="BP20" i="43"/>
  <c r="CK20" i="43" l="1"/>
  <c r="CL20" i="43" s="1"/>
  <c r="CT22" i="43"/>
  <c r="CE20" i="43"/>
  <c r="DY49" i="43"/>
  <c r="DZ49" i="43" s="1"/>
  <c r="DX57" i="43"/>
  <c r="DC25" i="43" s="1"/>
  <c r="AA22" i="43" l="1"/>
  <c r="X22" i="43"/>
  <c r="CM20" i="43"/>
  <c r="W20" i="43" s="1"/>
  <c r="BZ21" i="43"/>
  <c r="CO21" i="43" l="1"/>
  <c r="CP21" i="43" s="1"/>
  <c r="CA21" i="43"/>
  <c r="CB21" i="43" s="1"/>
  <c r="AW21" i="43"/>
  <c r="BU21" i="43"/>
  <c r="BV21" i="43" s="1"/>
  <c r="BX21" i="43" s="1"/>
  <c r="V21" i="43"/>
  <c r="C47" i="38" s="1"/>
  <c r="CC21" i="43" l="1"/>
  <c r="BC21" i="43"/>
  <c r="BD21" i="43" s="1"/>
  <c r="BE21" i="43" s="1"/>
  <c r="BF21" i="43" s="1"/>
  <c r="R24" i="43"/>
  <c r="T55" i="43"/>
  <c r="CQ21" i="43"/>
  <c r="Y21" i="43" s="1"/>
  <c r="CY21" i="43"/>
  <c r="CZ21" i="43" s="1"/>
  <c r="CH21" i="43" s="1"/>
  <c r="CI21" i="43" s="1"/>
  <c r="BM21" i="43" l="1"/>
  <c r="BN21" i="43" s="1"/>
  <c r="DB21" i="43"/>
  <c r="DT50" i="43" s="1"/>
  <c r="CD21" i="43"/>
  <c r="CF21" i="43" l="1"/>
  <c r="CJ21" i="43" s="1"/>
  <c r="DU50" i="43"/>
  <c r="DV50" i="43" s="1"/>
  <c r="DW50" i="43" s="1"/>
  <c r="DX50" i="43" s="1"/>
  <c r="DY50" i="43" s="1"/>
  <c r="DT58" i="43"/>
  <c r="DT59" i="43" s="1"/>
  <c r="DD22" i="43" s="1"/>
  <c r="BO21" i="43"/>
  <c r="CK21" i="43" l="1"/>
  <c r="CL21" i="43" s="1"/>
  <c r="DZ50" i="43"/>
  <c r="DY57" i="43"/>
  <c r="DC26" i="43" s="1"/>
  <c r="AQ21" i="43"/>
  <c r="Z21" i="43"/>
  <c r="CR23" i="43"/>
  <c r="BP21" i="43"/>
  <c r="CE21" i="43"/>
  <c r="CM21" i="43" l="1"/>
  <c r="W21" i="43" s="1"/>
  <c r="BZ22" i="43"/>
  <c r="CT23" i="43"/>
  <c r="CO22" i="43" l="1"/>
  <c r="CP22" i="43" s="1"/>
  <c r="AW22" i="43"/>
  <c r="BU22" i="43"/>
  <c r="BV22" i="43" s="1"/>
  <c r="BX22" i="43" s="1"/>
  <c r="CA22" i="43"/>
  <c r="CB22" i="43" s="1"/>
  <c r="V22" i="43"/>
  <c r="C48" i="38" s="1"/>
  <c r="X23" i="43"/>
  <c r="AA23" i="43"/>
  <c r="CC22" i="43" l="1"/>
  <c r="BC22" i="43"/>
  <c r="BM22" i="43" s="1"/>
  <c r="BN22" i="43" s="1"/>
  <c r="CQ22" i="43"/>
  <c r="Y22" i="43" s="1"/>
  <c r="CY22" i="43"/>
  <c r="CZ22" i="43" s="1"/>
  <c r="CH22" i="43" s="1"/>
  <c r="CI22" i="43" s="1"/>
  <c r="BO22" i="43" l="1"/>
  <c r="DB22" i="43"/>
  <c r="DU51" i="43" s="1"/>
  <c r="CD22" i="43"/>
  <c r="DV51" i="43" l="1"/>
  <c r="DW51" i="43" s="1"/>
  <c r="DX51" i="43" s="1"/>
  <c r="DY51" i="43" s="1"/>
  <c r="DZ51" i="43" s="1"/>
  <c r="DZ57" i="43" s="1"/>
  <c r="DU58" i="43"/>
  <c r="DU59" i="43" s="1"/>
  <c r="DD23" i="43" s="1"/>
  <c r="CF22" i="43"/>
  <c r="CJ22" i="43" s="1"/>
  <c r="AQ22" i="43"/>
  <c r="Z22" i="43"/>
  <c r="CR24" i="43"/>
  <c r="BP22" i="43"/>
  <c r="CK22" i="43" l="1"/>
  <c r="CL22" i="43" s="1"/>
  <c r="CE22" i="43"/>
  <c r="DC27" i="43"/>
  <c r="DC28" i="43"/>
  <c r="CM22" i="43" l="1"/>
  <c r="W22" i="43" s="1"/>
  <c r="BZ23" i="43"/>
  <c r="CA23" i="43" l="1"/>
  <c r="CB23" i="43" s="1"/>
  <c r="CO23" i="43"/>
  <c r="CP23" i="43" s="1"/>
  <c r="AW23" i="43"/>
  <c r="BU23" i="43"/>
  <c r="BV23" i="43" s="1"/>
  <c r="BX23" i="43" s="1"/>
  <c r="V23" i="43"/>
  <c r="C49" i="38" s="1"/>
  <c r="BC23" i="43" l="1"/>
  <c r="BM23" i="43" s="1"/>
  <c r="BN23" i="43" s="1"/>
  <c r="CQ23" i="43"/>
  <c r="Y23" i="43" s="1"/>
  <c r="CY23" i="43"/>
  <c r="CZ23" i="43" s="1"/>
  <c r="CH23" i="43" s="1"/>
  <c r="CI23" i="43" s="1"/>
  <c r="CC23" i="43"/>
  <c r="BO23" i="43" l="1"/>
  <c r="CR25" i="43" s="1"/>
  <c r="DB23" i="43"/>
  <c r="DV52" i="43" s="1"/>
  <c r="CD23" i="43"/>
  <c r="AQ23" i="43" l="1"/>
  <c r="Z23" i="43"/>
  <c r="DW52" i="43"/>
  <c r="DX52" i="43" s="1"/>
  <c r="DY52" i="43" s="1"/>
  <c r="DZ52" i="43" s="1"/>
  <c r="DV58" i="43"/>
  <c r="DV59" i="43" s="1"/>
  <c r="DD24" i="43" s="1"/>
  <c r="BP23" i="43"/>
  <c r="CF23" i="43"/>
  <c r="CJ23" i="43" s="1"/>
  <c r="CK23" i="43" l="1"/>
  <c r="CL23" i="43" s="1"/>
  <c r="CE23" i="43"/>
  <c r="CM23" i="43" l="1"/>
  <c r="W23" i="43" s="1"/>
  <c r="BZ24" i="43"/>
  <c r="BU24" i="43" l="1"/>
  <c r="BV24" i="43" s="1"/>
  <c r="BX24" i="43" s="1"/>
  <c r="CO24" i="43"/>
  <c r="CP24" i="43" s="1"/>
  <c r="CA24" i="43"/>
  <c r="CB24" i="43" s="1"/>
  <c r="AW24" i="43"/>
  <c r="CC24" i="43" l="1"/>
  <c r="DB24" i="43" s="1"/>
  <c r="DW53" i="43" s="1"/>
  <c r="DX53" i="43" s="1"/>
  <c r="DY53" i="43" s="1"/>
  <c r="DZ53" i="43" s="1"/>
  <c r="BC24" i="43"/>
  <c r="BM24" i="43" s="1"/>
  <c r="BN24" i="43" s="1"/>
  <c r="CS24" i="43"/>
  <c r="CQ24" i="43"/>
  <c r="CY24" i="43"/>
  <c r="CZ24" i="43" s="1"/>
  <c r="CH24" i="43" s="1"/>
  <c r="CI24" i="43" s="1"/>
  <c r="DW58" i="43" l="1"/>
  <c r="DW59" i="43" s="1"/>
  <c r="DD25" i="43" s="1"/>
  <c r="CD24" i="43"/>
  <c r="CF24" i="43" s="1"/>
  <c r="CJ24" i="43" s="1"/>
  <c r="BO24" i="43"/>
  <c r="CT24" i="43"/>
  <c r="AQ24" i="43" l="1"/>
  <c r="CR26" i="43"/>
  <c r="BP24" i="43"/>
  <c r="Y24" i="43"/>
  <c r="X24" i="43"/>
  <c r="V24" i="43"/>
  <c r="C50" i="38" s="1"/>
  <c r="AA24" i="43"/>
  <c r="Z24" i="43"/>
  <c r="CK24" i="43"/>
  <c r="CL24" i="43" s="1"/>
  <c r="CE24" i="43"/>
  <c r="CM24" i="43" l="1"/>
  <c r="W24" i="43" s="1"/>
  <c r="BZ25" i="43"/>
  <c r="AW25" i="43" l="1"/>
  <c r="CO25" i="43"/>
  <c r="CP25" i="43" s="1"/>
  <c r="CS25" i="43" s="1"/>
  <c r="BU25" i="43"/>
  <c r="BV25" i="43" s="1"/>
  <c r="BX25" i="43" s="1"/>
  <c r="CA25" i="43"/>
  <c r="CB25" i="43" s="1"/>
  <c r="CT25" i="43" l="1"/>
  <c r="CC25" i="43"/>
  <c r="CY25" i="43"/>
  <c r="CZ25" i="43" s="1"/>
  <c r="CH25" i="43" s="1"/>
  <c r="CI25" i="43" s="1"/>
  <c r="CQ25" i="43"/>
  <c r="BC25" i="43"/>
  <c r="BM25" i="43" s="1"/>
  <c r="BN25" i="43" s="1"/>
  <c r="Y25" i="43" l="1"/>
  <c r="AA25" i="43"/>
  <c r="X25" i="43"/>
  <c r="V25" i="43"/>
  <c r="C51" i="38" s="1"/>
  <c r="BO25" i="43"/>
  <c r="Z25" i="43" s="1"/>
  <c r="DB25" i="43"/>
  <c r="DX54" i="43" s="1"/>
  <c r="CD25" i="43"/>
  <c r="AQ25" i="43" l="1"/>
  <c r="CR27" i="43"/>
  <c r="DY54" i="43"/>
  <c r="DZ54" i="43" s="1"/>
  <c r="DX58" i="43"/>
  <c r="DX59" i="43" s="1"/>
  <c r="DD26" i="43" s="1"/>
  <c r="CF25" i="43"/>
  <c r="CJ25" i="43" s="1"/>
  <c r="BP25" i="43"/>
  <c r="CK25" i="43" l="1"/>
  <c r="CL25" i="43" s="1"/>
  <c r="CE25" i="43"/>
  <c r="CM25" i="43" l="1"/>
  <c r="W25" i="43" s="1"/>
  <c r="BZ26" i="43"/>
  <c r="CO26" i="43" l="1"/>
  <c r="CP26" i="43" s="1"/>
  <c r="CS26" i="43" s="1"/>
  <c r="AW26" i="43"/>
  <c r="CA26" i="43"/>
  <c r="CB26" i="43" s="1"/>
  <c r="BU26" i="43"/>
  <c r="BV26" i="43" s="1"/>
  <c r="BX26" i="43" s="1"/>
  <c r="CT26" i="43" l="1"/>
  <c r="BC26" i="43"/>
  <c r="BM26" i="43" s="1"/>
  <c r="BN26" i="43" s="1"/>
  <c r="CC26" i="43"/>
  <c r="CQ26" i="43"/>
  <c r="CY26" i="43"/>
  <c r="CZ26" i="43" s="1"/>
  <c r="CH26" i="43" s="1"/>
  <c r="CI26" i="43" s="1"/>
  <c r="AA26" i="43" l="1"/>
  <c r="X26" i="43"/>
  <c r="Y26" i="43"/>
  <c r="V26" i="43"/>
  <c r="BO26" i="43"/>
  <c r="Z26" i="43" s="1"/>
  <c r="DB26" i="43"/>
  <c r="DY55" i="43" s="1"/>
  <c r="CD26" i="43"/>
  <c r="AQ26" i="43" l="1"/>
  <c r="CR28" i="43"/>
  <c r="C52" i="38"/>
  <c r="CF26" i="43"/>
  <c r="CJ26" i="43" s="1"/>
  <c r="DZ55" i="43"/>
  <c r="DY58" i="43"/>
  <c r="DY59" i="43" s="1"/>
  <c r="BP26" i="43"/>
  <c r="DD27" i="43" l="1"/>
  <c r="DD28" i="43"/>
  <c r="CK26" i="43"/>
  <c r="CL26" i="43" s="1"/>
  <c r="CE26" i="43"/>
  <c r="CM26" i="43" l="1"/>
  <c r="W26" i="43" s="1"/>
  <c r="BZ27" i="43"/>
  <c r="BU27" i="43" l="1"/>
  <c r="BV27" i="43" s="1"/>
  <c r="BX27" i="43" s="1"/>
  <c r="CA27" i="43"/>
  <c r="CB27" i="43" s="1"/>
  <c r="CO27" i="43"/>
  <c r="CP27" i="43" s="1"/>
  <c r="CS27" i="43" s="1"/>
  <c r="AW27" i="43"/>
  <c r="CT27" i="43" l="1"/>
  <c r="CC27" i="43"/>
  <c r="DB27" i="43" s="1"/>
  <c r="DZ56" i="43" s="1"/>
  <c r="DZ58" i="43" s="1"/>
  <c r="DZ59" i="43" s="1"/>
  <c r="BC27" i="43"/>
  <c r="BM27" i="43" s="1"/>
  <c r="BN27" i="43" s="1"/>
  <c r="CQ27" i="43"/>
  <c r="CY27" i="43"/>
  <c r="CZ27" i="43" s="1"/>
  <c r="CH27" i="43" s="1"/>
  <c r="CI27" i="43" s="1"/>
  <c r="Y27" i="43" l="1"/>
  <c r="V27" i="43"/>
  <c r="X27" i="43"/>
  <c r="AA27" i="43"/>
  <c r="CD27" i="43"/>
  <c r="CF27" i="43" s="1"/>
  <c r="CJ27" i="43" s="1"/>
  <c r="BO27" i="43"/>
  <c r="AQ27" i="43" s="1"/>
  <c r="Z27" i="43" l="1"/>
  <c r="C53" i="38"/>
  <c r="CE27" i="43"/>
  <c r="CK27" i="43"/>
  <c r="CL27" i="43" s="1"/>
  <c r="BP27" i="43"/>
  <c r="CM27" i="43" l="1"/>
  <c r="W27" i="43" s="1"/>
  <c r="BZ28" i="43"/>
  <c r="V28" i="43" s="1"/>
  <c r="C54" i="38" l="1"/>
  <c r="V29" i="43"/>
  <c r="CA28" i="43"/>
  <c r="CB28" i="43" s="1"/>
  <c r="AW28" i="43"/>
  <c r="BU28" i="43"/>
  <c r="BV28" i="43" s="1"/>
  <c r="BX28" i="43" s="1"/>
  <c r="CO28" i="43"/>
  <c r="CP28" i="43" s="1"/>
  <c r="CS28" i="43" s="1"/>
  <c r="CT28" i="43" s="1"/>
  <c r="X28" i="43" l="1"/>
  <c r="X29" i="43" s="1"/>
  <c r="AA28" i="43"/>
  <c r="BC28" i="43"/>
  <c r="BM28" i="43" s="1"/>
  <c r="BN28" i="43" s="1"/>
  <c r="CQ28" i="43"/>
  <c r="Y28" i="43" s="1"/>
  <c r="CY28" i="43"/>
  <c r="CZ28" i="43" s="1"/>
  <c r="CH28" i="43" s="1"/>
  <c r="CC28" i="43"/>
  <c r="BO28" i="43" l="1"/>
  <c r="Z28" i="43" s="1"/>
  <c r="CI28" i="43"/>
  <c r="CH29" i="43"/>
  <c r="CI29" i="43" s="1"/>
  <c r="DB28" i="43"/>
  <c r="CD28" i="43"/>
  <c r="CF28" i="43" l="1"/>
  <c r="CJ28" i="43" s="1"/>
  <c r="CL28" i="43" s="1"/>
  <c r="CM28" i="43" s="1"/>
  <c r="W28" i="43" s="1"/>
  <c r="AQ28" i="43"/>
  <c r="BO29" i="43"/>
  <c r="BP28" i="43"/>
  <c r="CE28"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Randy Oliver</author>
  </authors>
  <commentList>
    <comment ref="X1" authorId="0" shapeId="0" xr:uid="{00000000-0006-0000-0000-000001000000}">
      <text>
        <r>
          <rPr>
            <b/>
            <sz val="9"/>
            <color indexed="81"/>
            <rFont val="Tahoma"/>
            <family val="2"/>
          </rPr>
          <t>Randy Oliver:</t>
        </r>
        <r>
          <rPr>
            <sz val="9"/>
            <color indexed="81"/>
            <rFont val="Tahoma"/>
            <family val="2"/>
          </rPr>
          <t xml:space="preserve">
Basic assumptions, adjustments, and calculations for r values 
This simple model assumes  that mites will be managed to never exceed  a level that affects the colony, so any negative effect of high mite pops upon the colony is not reflected in this model.
My own field data  indicate that a proportion of colonies  will exhibit mite  buildup rates far outside the mean (either way)--thus please assume that the simulations reflect median values
The basic assumption of the model is that the rate of cell invasion by foundress mites is a matter of chance, dependent upon the ratio of 5-day larvae to adult bees.  I used Willem Boot's data to arrive at a basic regression equation, (see the comment at the top of column AS), and then drew most of my other variables from the excellent model proposed by Stephen Martin, but added mite immigration and exodus.  I further used data from Lloyd Harris and Katie Lee to come up with additional values, and then tested the model against my own field data, as well as that of that of Jeff Harris, Bob Danka (and all) from the Baton Rouge lab, Eva Frey, and a number of other researchers to whom I owe a great debt of gratitude. 
</t>
        </r>
      </text>
    </comment>
    <comment ref="Z2" authorId="0" shapeId="0" xr:uid="{00000000-0006-0000-0000-00000200000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AL2" authorId="0" shapeId="0" xr:uid="{00000000-0006-0000-0000-000003000000}">
      <text>
        <r>
          <rPr>
            <b/>
            <sz val="9"/>
            <color indexed="81"/>
            <rFont val="Tahoma"/>
            <family val="2"/>
          </rPr>
          <t>Randy Oliver:</t>
        </r>
        <r>
          <rPr>
            <sz val="9"/>
            <color indexed="81"/>
            <rFont val="Tahoma"/>
            <family val="2"/>
          </rPr>
          <t xml:space="preserve">
# of frames x AK44</t>
        </r>
      </text>
    </comment>
    <comment ref="AN2" authorId="0" shapeId="0" xr:uid="{00000000-0006-0000-0000-000004000000}">
      <text>
        <r>
          <rPr>
            <b/>
            <sz val="9"/>
            <color indexed="81"/>
            <rFont val="Tahoma"/>
            <family val="2"/>
          </rPr>
          <t>Randy Oliver:</t>
        </r>
        <r>
          <rPr>
            <sz val="9"/>
            <color indexed="81"/>
            <rFont val="Tahoma"/>
            <family val="2"/>
          </rPr>
          <t xml:space="preserve">
# of frames x AK43
</t>
        </r>
      </text>
    </comment>
    <comment ref="AQ2" authorId="0" shapeId="0" xr:uid="{00000000-0006-0000-0000-000005000000}">
      <text>
        <r>
          <rPr>
            <b/>
            <sz val="9"/>
            <color indexed="81"/>
            <rFont val="Tahoma"/>
            <family val="2"/>
          </rPr>
          <t>Randy Oliver:</t>
        </r>
        <r>
          <rPr>
            <sz val="9"/>
            <color indexed="81"/>
            <rFont val="Tahoma"/>
            <family val="2"/>
          </rPr>
          <t xml:space="preserve">
BN6*AP6</t>
        </r>
      </text>
    </comment>
    <comment ref="AS2" authorId="0" shapeId="0" xr:uid="{00000000-0006-0000-0000-00000600000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AT2" authorId="0" shapeId="0" xr:uid="{00000000-0006-0000-0000-00000700000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AX2" authorId="0" shapeId="0" xr:uid="{00000000-0006-0000-0000-000008000000}">
      <text>
        <r>
          <rPr>
            <b/>
            <sz val="9"/>
            <color indexed="81"/>
            <rFont val="Tahoma"/>
            <family val="2"/>
          </rPr>
          <t>Randy Oliver:</t>
        </r>
        <r>
          <rPr>
            <sz val="9"/>
            <color indexed="81"/>
            <rFont val="Tahoma"/>
            <family val="2"/>
          </rPr>
          <t xml:space="preserve">
Assume 12 days sealed; 20 day total.</t>
        </r>
      </text>
    </comment>
    <comment ref="AZ2" authorId="0" shapeId="0" xr:uid="{00000000-0006-0000-0000-00000900000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BE2" authorId="0" shapeId="0" xr:uid="{00000000-0006-0000-0000-00000A00000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BF2" authorId="0" shapeId="0" xr:uid="{00000000-0006-0000-0000-00000B000000}">
      <text>
        <r>
          <rPr>
            <b/>
            <sz val="9"/>
            <color indexed="81"/>
            <rFont val="Tahoma"/>
            <family val="2"/>
          </rPr>
          <t>Randy Oliver:</t>
        </r>
        <r>
          <rPr>
            <sz val="9"/>
            <color indexed="81"/>
            <rFont val="Tahoma"/>
            <family val="2"/>
          </rPr>
          <t xml:space="preserve">
See comment for column BS.</t>
        </r>
      </text>
    </comment>
    <comment ref="BG2" authorId="0" shapeId="0" xr:uid="{00000000-0006-0000-0000-00000C000000}">
      <text>
        <r>
          <rPr>
            <b/>
            <sz val="9"/>
            <color indexed="81"/>
            <rFont val="Tahoma"/>
            <family val="2"/>
          </rPr>
          <t>Randy Oliver:</t>
        </r>
        <r>
          <rPr>
            <sz val="9"/>
            <color indexed="81"/>
            <rFont val="Tahoma"/>
            <family val="2"/>
          </rPr>
          <t xml:space="preserve">
Assumes 15 days in brood</t>
        </r>
      </text>
    </comment>
    <comment ref="BH2" authorId="0" shapeId="0" xr:uid="{00000000-0006-0000-0000-00000D00000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BO2" authorId="0" shapeId="0" xr:uid="{00000000-0006-0000-0000-00000E00000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BP2" authorId="0" shapeId="0" xr:uid="{00000000-0006-0000-0000-00000F000000}">
      <text>
        <r>
          <rPr>
            <b/>
            <sz val="9"/>
            <color indexed="81"/>
            <rFont val="Tahoma"/>
            <family val="2"/>
          </rPr>
          <t>Randy Oliver:</t>
        </r>
        <r>
          <rPr>
            <sz val="9"/>
            <color indexed="81"/>
            <rFont val="Tahoma"/>
            <family val="2"/>
          </rPr>
          <t xml:space="preserve">
See comment for column BS.</t>
        </r>
      </text>
    </comment>
    <comment ref="BS2" authorId="0" shapeId="0" xr:uid="{00000000-0006-0000-0000-00001000000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BV2" authorId="0" shapeId="0" xr:uid="{00000000-0006-0000-0000-00001100000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BW2" authorId="0" shapeId="0" xr:uid="{00000000-0006-0000-0000-000012000000}">
      <text>
        <r>
          <rPr>
            <b/>
            <sz val="9"/>
            <color indexed="81"/>
            <rFont val="Tahoma"/>
            <family val="2"/>
          </rPr>
          <t>Randy Oliver:</t>
        </r>
        <r>
          <rPr>
            <sz val="9"/>
            <color indexed="81"/>
            <rFont val="Tahoma"/>
            <family val="2"/>
          </rPr>
          <t xml:space="preserve">
This calculation takes care of foundress mortality.  See the calculation at AJ79</t>
        </r>
      </text>
    </comment>
    <comment ref="BX2" authorId="0" shapeId="0" xr:uid="{00000000-0006-0000-0000-000013000000}">
      <text>
        <r>
          <rPr>
            <b/>
            <sz val="9"/>
            <color indexed="81"/>
            <rFont val="Tahoma"/>
            <family val="2"/>
          </rPr>
          <t>Randy Oliver:</t>
        </r>
        <r>
          <rPr>
            <sz val="9"/>
            <color indexed="81"/>
            <rFont val="Tahoma"/>
            <family val="2"/>
          </rPr>
          <t xml:space="preserve">
This figure is to show the most effect times to reduce varroa reproduction</t>
        </r>
      </text>
    </comment>
    <comment ref="CA2" authorId="0" shapeId="0" xr:uid="{00000000-0006-0000-0000-00001400000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CB2" authorId="0" shapeId="0" xr:uid="{00000000-0006-0000-0000-000015000000}">
      <text>
        <r>
          <rPr>
            <b/>
            <sz val="9"/>
            <color indexed="81"/>
            <rFont val="Tahoma"/>
            <family val="2"/>
          </rPr>
          <t>Randy Oliver:</t>
        </r>
        <r>
          <rPr>
            <sz val="9"/>
            <color indexed="81"/>
            <rFont val="Tahoma"/>
            <family val="2"/>
          </rPr>
          <t xml:space="preserve">
See comment at calculation to right</t>
        </r>
      </text>
    </comment>
    <comment ref="CC2" authorId="0" shapeId="0" xr:uid="{00000000-0006-0000-0000-000016000000}">
      <text>
        <r>
          <rPr>
            <b/>
            <sz val="9"/>
            <color indexed="81"/>
            <rFont val="Tahoma"/>
            <family val="2"/>
          </rPr>
          <t>Randy Oliver:</t>
        </r>
        <r>
          <rPr>
            <sz val="9"/>
            <color indexed="81"/>
            <rFont val="Tahoma"/>
            <family val="2"/>
          </rPr>
          <t xml:space="preserve">
Based upon number of potentially fertile mites * potential daily r</t>
        </r>
      </text>
    </comment>
    <comment ref="CF2" authorId="0" shapeId="0" xr:uid="{00000000-0006-0000-0000-00001700000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CG2" authorId="0" shapeId="0" xr:uid="{00000000-0006-0000-0000-00001800000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CH2" authorId="0" shapeId="0" xr:uid="{00000000-0006-0000-0000-000019000000}">
      <text>
        <r>
          <rPr>
            <b/>
            <sz val="9"/>
            <color indexed="81"/>
            <rFont val="Tahoma"/>
            <family val="2"/>
          </rPr>
          <t>Randy Oliver:</t>
        </r>
        <r>
          <rPr>
            <sz val="9"/>
            <color indexed="81"/>
            <rFont val="Tahoma"/>
            <family val="2"/>
          </rPr>
          <t xml:space="preserve">
See "Calculation for mite drift from hive"</t>
        </r>
      </text>
    </comment>
    <comment ref="CK2" authorId="0" shapeId="0" xr:uid="{00000000-0006-0000-0000-00001A00000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CR2" authorId="0" shapeId="0" xr:uid="{00000000-0006-0000-0000-00001B00000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CU2" authorId="0" shapeId="0" xr:uid="{00000000-0006-0000-0000-00001C00000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CY2" authorId="0" shapeId="0" xr:uid="{00000000-0006-0000-0000-00001D000000}">
      <text>
        <r>
          <rPr>
            <b/>
            <sz val="9"/>
            <color indexed="81"/>
            <rFont val="Tahoma"/>
            <family val="2"/>
          </rPr>
          <t>Randy Oliver:</t>
        </r>
        <r>
          <rPr>
            <sz val="9"/>
            <color indexed="81"/>
            <rFont val="Tahoma"/>
            <family val="2"/>
          </rPr>
          <t xml:space="preserve">
See Cervo 2014</t>
        </r>
      </text>
    </comment>
    <comment ref="CZ2" authorId="0" shapeId="0" xr:uid="{00000000-0006-0000-0000-00001E000000}">
      <text>
        <r>
          <rPr>
            <b/>
            <sz val="9"/>
            <color indexed="81"/>
            <rFont val="Tahoma"/>
            <family val="2"/>
          </rPr>
          <t>Randy Oliver:</t>
        </r>
        <r>
          <rPr>
            <sz val="9"/>
            <color indexed="81"/>
            <rFont val="Tahoma"/>
            <family val="2"/>
          </rPr>
          <t xml:space="preserve">
Kralj 2006 From 9-30% of exiting infested bees do not return.</t>
        </r>
      </text>
    </comment>
    <comment ref="DC2" authorId="0" shapeId="0" xr:uid="{00000000-0006-0000-0000-00001F00000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DD2" authorId="0" shapeId="0" xr:uid="{00000000-0006-0000-0000-00002000000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W3" authorId="0" shapeId="0" xr:uid="{00000000-0006-0000-0000-000021000000}">
      <text>
        <r>
          <rPr>
            <b/>
            <sz val="9"/>
            <color indexed="81"/>
            <rFont val="Tahoma"/>
            <family val="2"/>
          </rPr>
          <t>Randy Oliver:</t>
        </r>
        <r>
          <rPr>
            <sz val="9"/>
            <color indexed="81"/>
            <rFont val="Tahoma"/>
            <family val="2"/>
          </rPr>
          <t xml:space="preserve">
See comment at calculation</t>
        </r>
      </text>
    </comment>
    <comment ref="AC21" authorId="0" shapeId="0" xr:uid="{00000000-0006-0000-0000-00002200000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Z31" authorId="0" shapeId="0" xr:uid="{00000000-0006-0000-0000-000023000000}">
      <text>
        <r>
          <rPr>
            <b/>
            <sz val="9"/>
            <color indexed="81"/>
            <rFont val="Tahoma"/>
            <family val="2"/>
          </rPr>
          <t>Randy Oliver:</t>
        </r>
        <r>
          <rPr>
            <sz val="9"/>
            <color indexed="81"/>
            <rFont val="Tahoma"/>
            <family val="2"/>
          </rPr>
          <t xml:space="preserve">
Make sure that you adjust the starting count to match the reality check (by alcohol wash) median values during any time period that you've taken actual field samples.</t>
        </r>
      </text>
    </comment>
    <comment ref="AO36" authorId="0" shapeId="0" xr:uid="{00000000-0006-0000-0000-000024000000}">
      <text>
        <r>
          <rPr>
            <b/>
            <sz val="9"/>
            <color indexed="81"/>
            <rFont val="Tahoma"/>
            <family val="2"/>
          </rPr>
          <t>Randy Oliver:</t>
        </r>
        <r>
          <rPr>
            <sz val="9"/>
            <color indexed="81"/>
            <rFont val="Tahoma"/>
            <family val="2"/>
          </rPr>
          <t xml:space="preserve">
365/24 intervals</t>
        </r>
      </text>
    </comment>
    <comment ref="Y38" authorId="0" shapeId="0" xr:uid="{00000000-0006-0000-0000-000025000000}">
      <text>
        <r>
          <rPr>
            <b/>
            <sz val="9"/>
            <color indexed="81"/>
            <rFont val="Tahoma"/>
            <family val="2"/>
          </rPr>
          <t>Randy Oliver:</t>
        </r>
        <r>
          <rPr>
            <sz val="9"/>
            <color indexed="81"/>
            <rFont val="Tahoma"/>
            <family val="2"/>
          </rPr>
          <t xml:space="preserve">
Advanced users can input custom values for sensitivity analyses.</t>
        </r>
      </text>
    </comment>
    <comment ref="T40" authorId="0" shapeId="0" xr:uid="{00000000-0006-0000-0000-000026000000}">
      <text>
        <r>
          <rPr>
            <b/>
            <sz val="9"/>
            <color indexed="81"/>
            <rFont val="Tahoma"/>
            <family val="2"/>
          </rPr>
          <t>Randy Oliver:</t>
        </r>
        <r>
          <rPr>
            <sz val="9"/>
            <color indexed="81"/>
            <rFont val="Tahoma"/>
            <family val="2"/>
          </rPr>
          <t xml:space="preserve">
see
Al Ghamdi, A and R Hoopingarner  (2003) Reproductive Biology of Varroa jacobsoni Oud. in Worker and Drone Brood of the Honey 
Bee Apis mellifera L. under Michigan Conditions. Pakistan Journal of Biological Sciences 6 (8): 756-761.
A more recent review is Xie, X. et al.  (2016) Why do Varroa mites prefer nurse bees? Sci. Rep. 6, 28228; doi: 10.1038/srep28228.</t>
        </r>
      </text>
    </comment>
    <comment ref="R41" authorId="0" shapeId="0" xr:uid="{00000000-0006-0000-0000-00002700000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Y44" authorId="0" shapeId="0" xr:uid="{00000000-0006-0000-0000-00002800000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V45" authorId="0" shapeId="0" xr:uid="{00000000-0006-0000-0000-00002900000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AT45" authorId="0" shapeId="0" xr:uid="{00000000-0006-0000-0000-00002A00000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AA46" authorId="0" shapeId="0" xr:uid="{00000000-0006-0000-0000-00002B00000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Z47" authorId="0" shapeId="0" xr:uid="{00000000-0006-0000-0000-00002C00000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X48" authorId="0" shapeId="0" xr:uid="{00000000-0006-0000-0000-00002D00000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Randy Oliver</author>
  </authors>
  <commentList>
    <comment ref="N25" authorId="0" shapeId="0" xr:uid="{00000000-0006-0000-0100-00000100000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Randy Oliver</author>
  </authors>
  <commentList>
    <comment ref="X1" authorId="0" shapeId="0" xr:uid="{00000000-0006-0000-0500-000001000000}">
      <text>
        <r>
          <rPr>
            <b/>
            <sz val="9"/>
            <color indexed="81"/>
            <rFont val="Tahoma"/>
            <family val="2"/>
          </rPr>
          <t>Randy Oliver:</t>
        </r>
        <r>
          <rPr>
            <sz val="9"/>
            <color indexed="81"/>
            <rFont val="Tahoma"/>
            <family val="2"/>
          </rPr>
          <t xml:space="preserve">
Basic assumptions, adjustments, and calculations for r values 
This simple model assumes  that mites will be managed to never exceed  a level that affects the colony, so any negative effect of high mite pops upon the colony is not reflected in this model.
My own field data  indicate that a proportion of colonies  will exhibit mite  buildup rates far outside the mean (either way)--thus please assume that the simulations reflect median values
The basic assumption of the model is that the rate of cell invasion by foundress mites is a matter of chance, dependent upon the ratio of 5-day larvae to adult bees.  I used Willem Boot's data to arrive at a basic regression equation, (see the comment at the top of column AS), and then drew most of my other variables from the excellent model proposed by Stephen Martin, but added mite immigration and exodus.  I further used data from Lloyd Harris and Katie Lee to come up with additional values, and then tested the model against my own field data, as well as that of that of Jeff Harris, Bob Danka (and all) from the Baton Rouge lab, Eva Frey, and a number of other researchers to whom I owe a great debt of gratitude. 
</t>
        </r>
      </text>
    </comment>
    <comment ref="Z2" authorId="0" shapeId="0" xr:uid="{00000000-0006-0000-0500-00000200000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AL2" authorId="0" shapeId="0" xr:uid="{00000000-0006-0000-0500-000003000000}">
      <text>
        <r>
          <rPr>
            <b/>
            <sz val="9"/>
            <color indexed="81"/>
            <rFont val="Tahoma"/>
            <family val="2"/>
          </rPr>
          <t>Randy Oliver:</t>
        </r>
        <r>
          <rPr>
            <sz val="9"/>
            <color indexed="81"/>
            <rFont val="Tahoma"/>
            <family val="2"/>
          </rPr>
          <t xml:space="preserve">
# of frames x AK44</t>
        </r>
      </text>
    </comment>
    <comment ref="AN2" authorId="0" shapeId="0" xr:uid="{00000000-0006-0000-0500-000004000000}">
      <text>
        <r>
          <rPr>
            <b/>
            <sz val="9"/>
            <color indexed="81"/>
            <rFont val="Tahoma"/>
            <family val="2"/>
          </rPr>
          <t>Randy Oliver:</t>
        </r>
        <r>
          <rPr>
            <sz val="9"/>
            <color indexed="81"/>
            <rFont val="Tahoma"/>
            <family val="2"/>
          </rPr>
          <t xml:space="preserve">
# of frames x AK43
</t>
        </r>
      </text>
    </comment>
    <comment ref="AQ2" authorId="0" shapeId="0" xr:uid="{00000000-0006-0000-0500-000005000000}">
      <text>
        <r>
          <rPr>
            <b/>
            <sz val="9"/>
            <color indexed="81"/>
            <rFont val="Tahoma"/>
            <family val="2"/>
          </rPr>
          <t>Randy Oliver:</t>
        </r>
        <r>
          <rPr>
            <sz val="9"/>
            <color indexed="81"/>
            <rFont val="Tahoma"/>
            <family val="2"/>
          </rPr>
          <t xml:space="preserve">
BN6*AP6</t>
        </r>
      </text>
    </comment>
    <comment ref="AS2" authorId="0" shapeId="0" xr:uid="{00000000-0006-0000-0500-00000600000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AT2" authorId="0" shapeId="0" xr:uid="{00000000-0006-0000-0500-00000700000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AX2" authorId="0" shapeId="0" xr:uid="{00000000-0006-0000-0500-000008000000}">
      <text>
        <r>
          <rPr>
            <b/>
            <sz val="9"/>
            <color indexed="81"/>
            <rFont val="Tahoma"/>
            <family val="2"/>
          </rPr>
          <t>Randy Oliver:</t>
        </r>
        <r>
          <rPr>
            <sz val="9"/>
            <color indexed="81"/>
            <rFont val="Tahoma"/>
            <family val="2"/>
          </rPr>
          <t xml:space="preserve">
Assume 12 days sealed; 20 day total.</t>
        </r>
      </text>
    </comment>
    <comment ref="AZ2" authorId="0" shapeId="0" xr:uid="{00000000-0006-0000-0500-00000900000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BE2" authorId="0" shapeId="0" xr:uid="{00000000-0006-0000-0500-00000A00000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BF2" authorId="0" shapeId="0" xr:uid="{00000000-0006-0000-0500-00000B000000}">
      <text>
        <r>
          <rPr>
            <b/>
            <sz val="9"/>
            <color indexed="81"/>
            <rFont val="Tahoma"/>
            <family val="2"/>
          </rPr>
          <t>Randy Oliver:</t>
        </r>
        <r>
          <rPr>
            <sz val="9"/>
            <color indexed="81"/>
            <rFont val="Tahoma"/>
            <family val="2"/>
          </rPr>
          <t xml:space="preserve">
See comment for column BS.</t>
        </r>
      </text>
    </comment>
    <comment ref="BG2" authorId="0" shapeId="0" xr:uid="{00000000-0006-0000-0500-00000C000000}">
      <text>
        <r>
          <rPr>
            <b/>
            <sz val="9"/>
            <color indexed="81"/>
            <rFont val="Tahoma"/>
            <family val="2"/>
          </rPr>
          <t>Randy Oliver:</t>
        </r>
        <r>
          <rPr>
            <sz val="9"/>
            <color indexed="81"/>
            <rFont val="Tahoma"/>
            <family val="2"/>
          </rPr>
          <t xml:space="preserve">
Assumes 15 days in brood</t>
        </r>
      </text>
    </comment>
    <comment ref="BH2" authorId="0" shapeId="0" xr:uid="{00000000-0006-0000-0500-00000D00000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BO2" authorId="0" shapeId="0" xr:uid="{00000000-0006-0000-0500-00000E00000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BP2" authorId="0" shapeId="0" xr:uid="{00000000-0006-0000-0500-00000F000000}">
      <text>
        <r>
          <rPr>
            <b/>
            <sz val="9"/>
            <color indexed="81"/>
            <rFont val="Tahoma"/>
            <family val="2"/>
          </rPr>
          <t>Randy Oliver:</t>
        </r>
        <r>
          <rPr>
            <sz val="9"/>
            <color indexed="81"/>
            <rFont val="Tahoma"/>
            <family val="2"/>
          </rPr>
          <t xml:space="preserve">
See comment for column BS.</t>
        </r>
      </text>
    </comment>
    <comment ref="BS2" authorId="0" shapeId="0" xr:uid="{00000000-0006-0000-0500-00001000000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BV2" authorId="0" shapeId="0" xr:uid="{00000000-0006-0000-0500-00001100000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BW2" authorId="0" shapeId="0" xr:uid="{00000000-0006-0000-0500-000012000000}">
      <text>
        <r>
          <rPr>
            <b/>
            <sz val="9"/>
            <color indexed="81"/>
            <rFont val="Tahoma"/>
            <family val="2"/>
          </rPr>
          <t>Randy Oliver:</t>
        </r>
        <r>
          <rPr>
            <sz val="9"/>
            <color indexed="81"/>
            <rFont val="Tahoma"/>
            <family val="2"/>
          </rPr>
          <t xml:space="preserve">
This calculation takes care of foundress mortality.  See the calculation at AJ79</t>
        </r>
      </text>
    </comment>
    <comment ref="BX2" authorId="0" shapeId="0" xr:uid="{00000000-0006-0000-0500-000013000000}">
      <text>
        <r>
          <rPr>
            <b/>
            <sz val="9"/>
            <color indexed="81"/>
            <rFont val="Tahoma"/>
            <family val="2"/>
          </rPr>
          <t>Randy Oliver:</t>
        </r>
        <r>
          <rPr>
            <sz val="9"/>
            <color indexed="81"/>
            <rFont val="Tahoma"/>
            <family val="2"/>
          </rPr>
          <t xml:space="preserve">
This figure is to show the most effect times to reduce varroa reproduction</t>
        </r>
      </text>
    </comment>
    <comment ref="CA2" authorId="0" shapeId="0" xr:uid="{00000000-0006-0000-0500-00001400000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CB2" authorId="0" shapeId="0" xr:uid="{00000000-0006-0000-0500-000015000000}">
      <text>
        <r>
          <rPr>
            <b/>
            <sz val="9"/>
            <color indexed="81"/>
            <rFont val="Tahoma"/>
            <family val="2"/>
          </rPr>
          <t>Randy Oliver:</t>
        </r>
        <r>
          <rPr>
            <sz val="9"/>
            <color indexed="81"/>
            <rFont val="Tahoma"/>
            <family val="2"/>
          </rPr>
          <t xml:space="preserve">
See comment at calculation to right</t>
        </r>
      </text>
    </comment>
    <comment ref="CC2" authorId="0" shapeId="0" xr:uid="{00000000-0006-0000-0500-000016000000}">
      <text>
        <r>
          <rPr>
            <b/>
            <sz val="9"/>
            <color indexed="81"/>
            <rFont val="Tahoma"/>
            <family val="2"/>
          </rPr>
          <t>Randy Oliver:</t>
        </r>
        <r>
          <rPr>
            <sz val="9"/>
            <color indexed="81"/>
            <rFont val="Tahoma"/>
            <family val="2"/>
          </rPr>
          <t xml:space="preserve">
Based upon number of potentially fertile mites * potential daily r</t>
        </r>
      </text>
    </comment>
    <comment ref="CF2" authorId="0" shapeId="0" xr:uid="{00000000-0006-0000-0500-00001700000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CG2" authorId="0" shapeId="0" xr:uid="{00000000-0006-0000-0500-00001800000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CH2" authorId="0" shapeId="0" xr:uid="{00000000-0006-0000-0500-000019000000}">
      <text>
        <r>
          <rPr>
            <b/>
            <sz val="9"/>
            <color indexed="81"/>
            <rFont val="Tahoma"/>
            <family val="2"/>
          </rPr>
          <t>Randy Oliver:</t>
        </r>
        <r>
          <rPr>
            <sz val="9"/>
            <color indexed="81"/>
            <rFont val="Tahoma"/>
            <family val="2"/>
          </rPr>
          <t xml:space="preserve">
See "Calculation for mite drift from hive"</t>
        </r>
      </text>
    </comment>
    <comment ref="CK2" authorId="0" shapeId="0" xr:uid="{00000000-0006-0000-0500-00001A00000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CR2" authorId="0" shapeId="0" xr:uid="{00000000-0006-0000-0500-00001B00000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CU2" authorId="0" shapeId="0" xr:uid="{00000000-0006-0000-0500-00001C00000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CY2" authorId="0" shapeId="0" xr:uid="{00000000-0006-0000-0500-00001D000000}">
      <text>
        <r>
          <rPr>
            <b/>
            <sz val="9"/>
            <color indexed="81"/>
            <rFont val="Tahoma"/>
            <family val="2"/>
          </rPr>
          <t>Randy Oliver:</t>
        </r>
        <r>
          <rPr>
            <sz val="9"/>
            <color indexed="81"/>
            <rFont val="Tahoma"/>
            <family val="2"/>
          </rPr>
          <t xml:space="preserve">
See Cervo 2014</t>
        </r>
      </text>
    </comment>
    <comment ref="CZ2" authorId="0" shapeId="0" xr:uid="{00000000-0006-0000-0500-00001E000000}">
      <text>
        <r>
          <rPr>
            <b/>
            <sz val="9"/>
            <color indexed="81"/>
            <rFont val="Tahoma"/>
            <family val="2"/>
          </rPr>
          <t>Randy Oliver:</t>
        </r>
        <r>
          <rPr>
            <sz val="9"/>
            <color indexed="81"/>
            <rFont val="Tahoma"/>
            <family val="2"/>
          </rPr>
          <t xml:space="preserve">
Kralj 2006 From 9-30% of exiting infested bees do not return.</t>
        </r>
      </text>
    </comment>
    <comment ref="DC2" authorId="0" shapeId="0" xr:uid="{00000000-0006-0000-0500-00001F00000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DD2" authorId="0" shapeId="0" xr:uid="{00000000-0006-0000-0500-00002000000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W3" authorId="0" shapeId="0" xr:uid="{00000000-0006-0000-0500-000021000000}">
      <text>
        <r>
          <rPr>
            <b/>
            <sz val="9"/>
            <color indexed="81"/>
            <rFont val="Tahoma"/>
            <family val="2"/>
          </rPr>
          <t>Randy Oliver:</t>
        </r>
        <r>
          <rPr>
            <sz val="9"/>
            <color indexed="81"/>
            <rFont val="Tahoma"/>
            <family val="2"/>
          </rPr>
          <t xml:space="preserve">
See comment at calculation</t>
        </r>
      </text>
    </comment>
    <comment ref="AC21" authorId="0" shapeId="0" xr:uid="{00000000-0006-0000-0500-00002200000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Z31" authorId="0" shapeId="0" xr:uid="{00000000-0006-0000-0500-000023000000}">
      <text>
        <r>
          <rPr>
            <b/>
            <sz val="9"/>
            <color indexed="81"/>
            <rFont val="Tahoma"/>
            <family val="2"/>
          </rPr>
          <t>Randy Oliver:</t>
        </r>
        <r>
          <rPr>
            <sz val="9"/>
            <color indexed="81"/>
            <rFont val="Tahoma"/>
            <family val="2"/>
          </rPr>
          <t xml:space="preserve">
Make sure that you adjust the starting count to match the reality check (by alcohol wash) median values during any time period that you've taken actual field samples.</t>
        </r>
      </text>
    </comment>
    <comment ref="AO36" authorId="0" shapeId="0" xr:uid="{00000000-0006-0000-0500-000024000000}">
      <text>
        <r>
          <rPr>
            <b/>
            <sz val="9"/>
            <color indexed="81"/>
            <rFont val="Tahoma"/>
            <family val="2"/>
          </rPr>
          <t>Randy Oliver:</t>
        </r>
        <r>
          <rPr>
            <sz val="9"/>
            <color indexed="81"/>
            <rFont val="Tahoma"/>
            <family val="2"/>
          </rPr>
          <t xml:space="preserve">
365/24 intervals</t>
        </r>
      </text>
    </comment>
    <comment ref="Y38" authorId="0" shapeId="0" xr:uid="{00000000-0006-0000-0500-000025000000}">
      <text>
        <r>
          <rPr>
            <b/>
            <sz val="9"/>
            <color indexed="81"/>
            <rFont val="Tahoma"/>
            <family val="2"/>
          </rPr>
          <t>Randy Oliver:</t>
        </r>
        <r>
          <rPr>
            <sz val="9"/>
            <color indexed="81"/>
            <rFont val="Tahoma"/>
            <family val="2"/>
          </rPr>
          <t xml:space="preserve">
Advanced users can input custom values for sensitivity analyses.</t>
        </r>
      </text>
    </comment>
    <comment ref="T40" authorId="0" shapeId="0" xr:uid="{00000000-0006-0000-0500-000026000000}">
      <text>
        <r>
          <rPr>
            <b/>
            <sz val="9"/>
            <color indexed="81"/>
            <rFont val="Tahoma"/>
            <family val="2"/>
          </rPr>
          <t>Randy Oliver:</t>
        </r>
        <r>
          <rPr>
            <sz val="9"/>
            <color indexed="81"/>
            <rFont val="Tahoma"/>
            <family val="2"/>
          </rPr>
          <t xml:space="preserve">
see
Al Ghamdi, A and R Hoopingarner  (2003) Reproductive Biology of Varroa jacobsoni Oud. in Worker and Drone Brood of the Honey 
Bee Apis mellifera L. under Michigan Conditions. Pakistan Journal of Biological Sciences 6 (8): 756-761.
A more recent review is Xie, X. et al.  (2016) Why do Varroa mites prefer nurse bees? Sci. Rep. 6, 28228; doi: 10.1038/srep28228.</t>
        </r>
      </text>
    </comment>
    <comment ref="R41" authorId="0" shapeId="0" xr:uid="{00000000-0006-0000-0500-00002700000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Y44" authorId="0" shapeId="0" xr:uid="{00000000-0006-0000-0500-00002800000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V45" authorId="0" shapeId="0" xr:uid="{00000000-0006-0000-0500-00002900000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AT45" authorId="0" shapeId="0" xr:uid="{00000000-0006-0000-0500-00002A00000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AA46" authorId="0" shapeId="0" xr:uid="{00000000-0006-0000-0500-00002B00000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Z47" authorId="0" shapeId="0" xr:uid="{00000000-0006-0000-0500-00002C00000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X48" authorId="0" shapeId="0" xr:uid="{00000000-0006-0000-0500-00002D00000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<sst xmlns="http://schemas.openxmlformats.org/spreadsheetml/2006/main" count="848" uniqueCount="364">
  <si>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</si>
  <si>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</si>
  <si>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</si>
  <si>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</si>
  <si>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</si>
  <si>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</si>
  <si>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</si>
  <si>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</si>
  <si>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</si>
  <si>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</si>
  <si>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</si>
  <si>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</si>
  <si>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</si>
  <si>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</si>
  <si>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</si>
  <si>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</si>
  <si>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</si>
  <si>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</si>
  <si>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</si>
  <si>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</si>
  <si>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</si>
  <si>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</si>
  <si>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</si>
  <si>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</si>
  <si>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</si>
  <si>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</si>
  <si>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</si>
  <si>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</si>
  <si>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</si>
  <si>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</si>
  <si>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</si>
  <si>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</si>
  <si>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</si>
  <si>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</si>
  <si>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</si>
  <si>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</si>
  <si>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</si>
  <si>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</si>
  <si>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</si>
  <si>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</si>
  <si>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</si>
  <si>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</si>
  <si>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</si>
  <si>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</si>
  <si>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</si>
  <si>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</si>
  <si>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</si>
  <si>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</si>
  <si>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</si>
  <si>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</si>
  <si>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</si>
  <si>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</si>
  <si>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</si>
  <si>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</si>
  <si>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</si>
  <si>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</si>
  <si>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</si>
  <si>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</si>
  <si>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</si>
  <si>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</si>
  <si>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</si>
  <si>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</si>
  <si>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</si>
  <si>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</si>
  <si>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</si>
  <si>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</si>
  <si>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</si>
  <si>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</si>
  <si>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</si>
  <si>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</si>
  <si>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</si>
  <si>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</si>
  <si>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</si>
  <si>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</si>
  <si>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</si>
  <si>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</si>
  <si>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</si>
  <si>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</si>
  <si>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</si>
  <si>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</si>
  <si>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</si>
  <si>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</si>
  <si>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</si>
  <si>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</si>
  <si>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</si>
  <si>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</si>
  <si>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</si>
  <si>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</si>
  <si>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</si>
  <si>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</si>
  <si>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</si>
  <si>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</si>
  <si>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</si>
  <si>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</si>
  <si>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</si>
  <si>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</si>
  <si>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</si>
  <si>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</si>
  <si>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</si>
  <si>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</si>
  <si>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</si>
  <si>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</si>
  <si>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</si>
  <si>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</si>
  <si>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</si>
  <si>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</si>
  <si>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</si>
  <si>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</si>
  <si>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</si>
  <si>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</si>
  <si>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</si>
  <si>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</si>
  <si>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</si>
  <si>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</si>
  <si>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</si>
  <si>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</si>
  <si>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</si>
  <si>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</si>
  <si>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</si>
  <si>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Starting mite level:</t>
  </si>
  <si>
    <t>Mite immigration:</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</si>
  <si>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</si>
  <si>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</si>
  <si>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</si>
  <si>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</si>
  <si>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</si>
  <si>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</si>
  <si>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</si>
  <si>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</si>
  <si>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</si>
  <si>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</si>
  <si>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</si>
  <si>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</si>
  <si>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</si>
  <si>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</si>
  <si>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</si>
  <si>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</si>
  <si>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</si>
  <si>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</si>
  <si>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</si>
  <si>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</si>
  <si>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</si>
  <si>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</si>
  <si>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</si>
  <si>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</si>
  <si>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</si>
  <si>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</si>
  <si>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</si>
  <si>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</si>
  <si>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</si>
  <si>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</si>
  <si>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</si>
  <si>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</si>
  <si>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</si>
  <si>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</si>
  <si>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t>Best viewed at 80-90% (at bottom right), in "Full Screen" mode, scrolled to top left</t>
  </si>
  <si>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</si>
  <si>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</si>
  <si>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</si>
  <si>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</si>
  <si>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</si>
  <si>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</si>
  <si>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</si>
  <si>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</si>
  <si>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</si>
  <si>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</si>
  <si>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</si>
  <si>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</si>
  <si>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</si>
  <si>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</si>
  <si>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</si>
  <si>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</si>
  <si>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</si>
  <si>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</si>
  <si>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</si>
  <si>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</si>
  <si>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</si>
  <si>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</si>
  <si>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</si>
  <si>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</si>
  <si>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</si>
  <si>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</si>
  <si>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</si>
  <si>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</si>
  <si>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</si>
  <si>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</si>
  <si>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</si>
  <si>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</si>
  <si>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</si>
  <si>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</si>
  <si>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</si>
  <si>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</si>
  <si>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</si>
  <si>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</si>
  <si>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r>
      <rPr>
        <b/>
        <sz val="10"/>
        <rFont val="Arial"/>
        <family val="2"/>
      </rPr>
      <t>TREATMENT</t>
    </r>
    <r>
      <rPr>
        <b/>
        <sz val="11"/>
        <rFont val="Arial"/>
        <family val="2"/>
      </rPr>
      <t xml:space="preserve"> </t>
    </r>
    <r>
      <rPr>
        <b/>
        <sz val="10"/>
        <rFont val="Arial"/>
        <family val="2"/>
      </rPr>
      <t xml:space="preserve">         </t>
    </r>
    <r>
      <rPr>
        <sz val="10"/>
        <rFont val="Arial"/>
        <family val="2"/>
      </rPr>
      <t>% decrease of total mite population</t>
    </r>
  </si>
  <si>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</si>
  <si>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</si>
  <si>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</si>
  <si>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</si>
  <si>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</si>
  <si>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</si>
  <si>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</si>
  <si>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</si>
  <si>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</si>
  <si>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sz val="10"/>
        <rFont val="Arial"/>
        <family val="2"/>
      </rPr>
      <t xml:space="preserve">Colony type: </t>
    </r>
    <r>
      <rPr>
        <sz val="10"/>
        <rFont val="Arial"/>
        <family val="2"/>
      </rPr>
      <t>Enter a letter from the "Colony" tab to represent your hive.  Use "d" for default, "p" for package, "n" for nuc, or build your own custom hive for your region by opening the "Colony" tab.</t>
    </r>
  </si>
  <si>
    <t>To begin, fill in values in the first three yellow cells below.</t>
  </si>
  <si>
    <r>
      <rPr>
        <b/>
        <sz val="10"/>
        <rFont val="Arial"/>
        <family val="2"/>
      </rPr>
      <t xml:space="preserve">For the effect of treatments, splits, and swarming: </t>
    </r>
    <r>
      <rPr>
        <sz val="10"/>
        <rFont val="Arial"/>
        <family val="2"/>
      </rPr>
      <t xml:space="preserve">refer to Column AB and enter  values in the yellow cells above </t>
    </r>
    <r>
      <rPr>
        <sz val="14"/>
        <rFont val="Wingdings"/>
        <charset val="2"/>
      </rPr>
      <t>é</t>
    </r>
  </si>
  <si>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</si>
  <si>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r>
      <t xml:space="preserve">Leave this box blank to use the blue default values, or type in "custom" to modify values in the yellow cells below (the red </t>
    </r>
    <r>
      <rPr>
        <b/>
        <sz val="10"/>
        <color rgb="FFFF0000"/>
        <rFont val="Arial"/>
        <family val="2"/>
      </rPr>
      <t>V</t>
    </r>
    <r>
      <rPr>
        <sz val="10"/>
        <rFont val="Arial"/>
        <family val="2"/>
      </rPr>
      <t xml:space="preserve"> will indicate the switch).</t>
    </r>
  </si>
  <si>
    <t>Net mite gain  from reproduction</t>
  </si>
  <si>
    <t>High-latitude colony with 5-month brood break</t>
  </si>
  <si>
    <r>
      <t xml:space="preserve">INSTRUCTIONS: </t>
    </r>
    <r>
      <rPr>
        <sz val="10"/>
        <rFont val="Arial"/>
        <family val="2"/>
      </rPr>
      <t xml:space="preserve">You can customize the input value in any  </t>
    </r>
    <r>
      <rPr>
        <sz val="10"/>
        <rFont val="Wingdings"/>
        <charset val="2"/>
      </rPr>
      <t>ð</t>
    </r>
  </si>
  <si>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</si>
  <si>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</si>
  <si>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</si>
  <si>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</si>
  <si>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</si>
  <si>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</si>
  <si>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To change the dates for beekeepers in the Southern Hemisphere, type an "x" here:</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</si>
  <si>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</si>
  <si>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</si>
  <si>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</si>
  <si>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</si>
  <si>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</si>
  <si>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</si>
  <si>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</si>
  <si>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</si>
  <si>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</si>
  <si>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</si>
  <si>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</si>
  <si>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</si>
  <si>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</si>
  <si>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</si>
  <si>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</si>
  <si>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</si>
  <si>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</si>
  <si>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</si>
  <si>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</si>
  <si>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</si>
  <si>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</si>
  <si>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</si>
  <si>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r>
      <t xml:space="preserve">  </t>
    </r>
    <r>
      <rPr>
        <b/>
        <sz val="10"/>
        <color rgb="FFFF0000"/>
        <rFont val="Wingdings"/>
        <charset val="2"/>
      </rPr>
      <t>é</t>
    </r>
    <r>
      <rPr>
        <b/>
        <sz val="10"/>
        <color theme="1"/>
        <rFont val="Wingdings"/>
        <charset val="2"/>
      </rPr>
      <t xml:space="preserve"> </t>
    </r>
    <r>
      <rPr>
        <b/>
        <sz val="10"/>
        <color theme="1"/>
        <rFont val="Arial"/>
        <family val="2"/>
      </rPr>
      <t>For sustainable management, the ending mite count can not exceed the starting count</t>
    </r>
    <r>
      <rPr>
        <b/>
        <sz val="10"/>
        <color rgb="FFFF0000"/>
        <rFont val="Arial"/>
        <family val="2"/>
      </rPr>
      <t xml:space="preserve">   </t>
    </r>
    <r>
      <rPr>
        <b/>
        <sz val="10"/>
        <color rgb="FFFF0000"/>
        <rFont val="Wingdings"/>
        <charset val="2"/>
      </rPr>
      <t>é</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</si>
  <si>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</si>
  <si>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</si>
  <si>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</si>
  <si>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</si>
  <si>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</si>
  <si>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</si>
  <si>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</si>
  <si>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</si>
  <si>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</si>
  <si>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</si>
  <si>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</si>
  <si>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</si>
  <si>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</si>
  <si>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</si>
  <si>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</si>
  <si>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</si>
  <si>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</si>
  <si>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</si>
  <si>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</si>
  <si>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</si>
  <si>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</si>
  <si>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</si>
  <si>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r>
      <t xml:space="preserve">Use zero for a completely isolated hive, 1-2 for typical managed apiaries, 3-4 if surrounded by poorly-managed apiaries. </t>
    </r>
    <r>
      <rPr>
        <b/>
        <sz val="10"/>
        <rFont val="Arial"/>
        <family val="2"/>
      </rPr>
      <t xml:space="preserve"> This factor has a major effect upon low-mite colonies.</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</si>
  <si>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</si>
  <si>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</si>
  <si>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</si>
  <si>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</si>
  <si>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</si>
  <si>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</si>
  <si>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</si>
  <si>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</si>
  <si>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</si>
  <si>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</si>
  <si>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</si>
  <si>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</si>
  <si>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</si>
  <si>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</si>
  <si>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</si>
  <si>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</si>
  <si>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</si>
  <si>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</si>
  <si>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</si>
  <si>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</si>
  <si>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</si>
  <si>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</si>
  <si>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</si>
  <si>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</si>
  <si>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</si>
  <si>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</si>
  <si>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</si>
  <si>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</si>
  <si>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</si>
  <si>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t>Basic Instructions</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</si>
  <si>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</si>
  <si>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</si>
  <si>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</si>
  <si>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</si>
  <si>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 xml:space="preserve"> </t>
  </si>
  <si>
    <t>Days per simulation interval</t>
  </si>
  <si>
    <t>Calculation of alcohol wash count, assumes 315 bees per sample</t>
  </si>
  <si>
    <t>CLICK HERE FOR THE BASIC ASSUMPTIONS OF THE MODEL</t>
  </si>
  <si>
    <t>No neighbors</t>
  </si>
  <si>
    <t>Mite-managed apiary</t>
  </si>
  <si>
    <t>Collapsing ferals and heavy robbing</t>
  </si>
  <si>
    <t>Mite-troubled apiaries</t>
  </si>
  <si>
    <t>Treatment-free urban neighborhood</t>
  </si>
  <si>
    <t>Total immigration</t>
  </si>
  <si>
    <t xml:space="preserve">Selected mite immigration </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</si>
  <si>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</si>
  <si>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</si>
  <si>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</si>
  <si>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</si>
  <si>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</si>
  <si>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</si>
  <si>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</si>
  <si>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</si>
  <si>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</si>
  <si>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</si>
  <si>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</si>
  <si>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</si>
  <si>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</si>
  <si>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</si>
  <si>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</si>
  <si>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r>
      <t xml:space="preserve">Degree of varroa sensitive hygiene (percent).  </t>
    </r>
    <r>
      <rPr>
        <i/>
        <sz val="10"/>
        <rFont val="Arial"/>
        <family val="2"/>
      </rPr>
      <t>This has a strong effect upon the number of daughters per cycle!</t>
    </r>
  </si>
  <si>
    <t>Click here for important note</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</si>
  <si>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</si>
  <si>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</si>
  <si>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</si>
  <si>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</si>
  <si>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</si>
  <si>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</si>
  <si>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Moderate late-season immigration</t>
  </si>
  <si>
    <t>Enter a number from 0 (none) to 4 (high), or "X" for Custom (AK4 on Colony tab), to reflect mite drift from surrounding hives, and the robbing of collapsing hives within flight range.</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</si>
  <si>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</si>
  <si>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</si>
  <si>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</si>
  <si>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</si>
  <si>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</si>
  <si>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r>
      <rPr>
        <b/>
        <sz val="10"/>
        <rFont val="Arial"/>
        <family val="2"/>
      </rPr>
      <t>Important note:  all simulations are</t>
    </r>
    <r>
      <rPr>
        <sz val="10"/>
        <rFont val="Arial"/>
        <family val="2"/>
      </rPr>
      <t xml:space="preserve"> based on the assumption that mite levels are kept low enough so as not to allow viruses to affect colony health.</t>
    </r>
  </si>
  <si>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</si>
  <si>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</si>
  <si>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</si>
  <si>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</si>
  <si>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</si>
  <si>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</si>
  <si>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</si>
  <si>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</si>
  <si>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 xml:space="preserve">IMPORTANT TO NOTE:  </t>
    </r>
    <r>
      <rPr>
        <sz val="10"/>
        <color theme="1"/>
        <rFont val="Arial"/>
        <family val="2"/>
      </rPr>
      <t xml:space="preserve">the alcohol wash reflects the proportion of mites that are phoretic, so early in the season it </t>
    </r>
    <r>
      <rPr>
        <i/>
        <u/>
        <sz val="10"/>
        <color theme="1"/>
        <rFont val="Arial"/>
        <family val="2"/>
      </rPr>
      <t>underestimates</t>
    </r>
    <r>
      <rPr>
        <sz val="10"/>
        <color theme="1"/>
        <rFont val="Arial"/>
        <family val="2"/>
      </rPr>
      <t xml:space="preserve"> the degree of buildup of  the actual mite population, but then makes the mite level appear to explode when colonies reduce broodrearing later in the season.</t>
    </r>
  </si>
  <si>
    <t>© Randy Oliver 2016, 2017,2018</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</si>
  <si>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</si>
  <si>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</si>
  <si>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</si>
  <si>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</si>
  <si>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</si>
  <si>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Warning: simulations reflect </t>
    </r>
    <r>
      <rPr>
        <b/>
        <i/>
        <u/>
        <sz val="10"/>
        <color rgb="FFFF0000"/>
        <rFont val="Arial"/>
        <family val="2"/>
      </rPr>
      <t>median</t>
    </r>
    <r>
      <rPr>
        <b/>
        <sz val="10"/>
        <color rgb="FFFF0000"/>
        <rFont val="Arial"/>
        <family val="2"/>
      </rPr>
      <t xml:space="preserve"> expected values--hive-to-hive mite counts typically vary greatly!  Colony crash is indicated when the mite level gets too high.</t>
    </r>
  </si>
  <si>
    <r>
      <t>Worker cell--mean number of daughters/cycle ("fitness") (</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</si>
  <si>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</si>
  <si>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</si>
  <si>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Nucs and package mite counts will be applied on 1 April.</t>
  </si>
  <si>
    <t>CRASH</t>
  </si>
  <si>
    <t>For the crash triggers, see cells AK37 &amp; AK38.</t>
  </si>
  <si>
    <t>A: Subtropical colony, dry climate; no winter brood break--Southern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</si>
</sst>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s>
  <fonts count="52"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b/>
      <i/>
      <u/>
      <sz val="10"/>
      <color rgb="FFFF0000"/>
      <name val="Arial"/>
      <family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b/>
      <sz val="10"/>
      <color rgb="FFFF0000"/>
      <name val="Wingdings"/>
      <charset val="2"/>
    </font>
    <font>
      <b/>
      <sz val="10"/>
      <color theme="1"/>
      <name val="Wingdings"/>
      <charset val="2"/>
    </font>
    <font>
      <i/>
      <u/>
      <sz val="10"/>
      <color theme="1"/>
      <name val="Arial"/>
      <family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sz val="10"/>
      <color theme="0"/>
      <name val="Arial"/>
      <family val="2"/>
    </font>
    <font>
      <b/>
      <sz val="10"/>
      <color theme="0"/>
      <name val="Arial"/>
      <family val="2"/>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right/>
      <top/>
      <bottom style="thick">
        <color rgb="FFFF00FF"/>
      </bottom>
      <diagonal/>
    </border>
    <border>
      <left/>
      <right/>
      <top style="thick">
        <color rgb="FFFF00FF"/>
      </top>
      <bottom/>
      <diagonal/>
    </border>
    <border>
      <left style="thick">
        <color rgb="FFFF00FF"/>
      </left>
      <right/>
      <top style="thick">
        <color rgb="FFFF00FF"/>
      </top>
      <bottom/>
      <diagonal/>
    </border>
    <border>
      <left style="thick">
        <color rgb="FFFF00FF"/>
      </left>
      <right/>
      <top/>
      <bottom style="thick">
        <color rgb="FFFF00FF"/>
      </bottom>
      <diagonal/>
    </border>
    <border>
      <left style="thick">
        <color rgb="FFFF00FF"/>
      </left>
      <right/>
      <top/>
      <bottom/>
      <diagonal/>
    </border>
    <border>
      <left/>
      <right style="thick">
        <color rgb="FFFF00FF"/>
      </right>
      <top style="thick">
        <color rgb="FFFF00FF"/>
      </top>
      <bottom/>
      <diagonal/>
    </border>
    <border>
      <left/>
      <right style="thick">
        <color rgb="FFFF00FF"/>
      </right>
      <top/>
      <bottom style="thick">
        <color rgb="FFFF00FF"/>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512">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2" borderId="1" xfId="0" applyFont="1" applyFill="1" applyBorder="1" applyAlignment="1" applyProtection="1">
      <alignment horizontal="center" vertic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1" xfId="0" applyBorder="1" applyAlignment="1">
      <alignment horizontal="center" vertical="center" wrapText="1"/>
    </xf>
    <xf numFmtId="166" fontId="16" fillId="0" borderId="0" xfId="0" applyNumberFormat="1" applyFont="1" applyBorder="1" applyAlignment="1">
      <alignment horizontal="right"/>
    </xf>
    <xf numFmtId="166" fontId="16" fillId="0" borderId="12"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1" fontId="0" fillId="0" borderId="0" xfId="0" applyNumberFormat="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5"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5"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9" xfId="0" applyNumberFormat="1" applyFont="1" applyBorder="1" applyAlignment="1" applyProtection="1">
      <alignment horizontal="center"/>
    </xf>
    <xf numFmtId="1" fontId="4" fillId="0" borderId="21" xfId="0" applyNumberFormat="1" applyFont="1" applyBorder="1" applyAlignment="1" applyProtection="1">
      <alignment horizontal="center"/>
    </xf>
    <xf numFmtId="0" fontId="0" fillId="0" borderId="20"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25" fillId="0" borderId="8"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5" fillId="0" borderId="14" xfId="0" applyFont="1" applyBorder="1" applyAlignment="1">
      <alignment vertical="top"/>
    </xf>
    <xf numFmtId="0" fontId="5" fillId="0" borderId="15" xfId="0" applyFont="1" applyBorder="1" applyAlignment="1">
      <alignment vertical="top"/>
    </xf>
    <xf numFmtId="0" fontId="0" fillId="0" borderId="0" xfId="0" applyFill="1" applyAlignment="1" applyProtection="1">
      <alignment horizontal="center"/>
      <protection locked="0"/>
    </xf>
    <xf numFmtId="0" fontId="0" fillId="0" borderId="1" xfId="0" applyFill="1" applyBorder="1"/>
    <xf numFmtId="0" fontId="4" fillId="2" borderId="4" xfId="0" applyFont="1" applyFill="1" applyBorder="1" applyAlignment="1" applyProtection="1">
      <alignment horizontal="center"/>
      <protection locked="0"/>
    </xf>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 fillId="2" borderId="4" xfId="0" applyFont="1" applyFill="1" applyBorder="1" applyAlignment="1" applyProtection="1">
      <alignment horizontal="center" vertical="center"/>
      <protection locked="0"/>
    </xf>
    <xf numFmtId="0" fontId="44"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4" fillId="0" borderId="0" xfId="0" applyFont="1" applyBorder="1" applyAlignment="1" applyProtection="1">
      <alignment horizontal="center" vertical="center" wrapText="1"/>
    </xf>
    <xf numFmtId="0" fontId="0" fillId="0" borderId="0" xfId="0" applyAlignment="1" applyProtection="1">
      <alignment horizontal="center"/>
    </xf>
    <xf numFmtId="0" fontId="4" fillId="0" borderId="0" xfId="0" applyFont="1" applyAlignment="1" applyProtection="1">
      <alignment horizontal="center" vertical="center" wrapText="1"/>
    </xf>
    <xf numFmtId="0" fontId="18" fillId="0" borderId="0" xfId="0" applyFont="1" applyProtection="1"/>
    <xf numFmtId="0" fontId="22" fillId="0" borderId="5"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0" fillId="0" borderId="14" xfId="0" applyBorder="1" applyAlignment="1">
      <alignment vertical="center"/>
    </xf>
    <xf numFmtId="0" fontId="5" fillId="0" borderId="0" xfId="0" applyFont="1" applyBorder="1" applyAlignment="1">
      <alignment vertical="top"/>
    </xf>
    <xf numFmtId="164" fontId="0" fillId="0" borderId="5" xfId="0" applyNumberFormat="1" applyBorder="1" applyAlignment="1" applyProtection="1">
      <alignment horizontal="center"/>
    </xf>
    <xf numFmtId="0" fontId="4" fillId="2" borderId="5" xfId="0" applyFont="1" applyFill="1" applyBorder="1" applyAlignment="1" applyProtection="1">
      <alignment horizontal="center"/>
      <protection locked="0"/>
    </xf>
    <xf numFmtId="1" fontId="0" fillId="0" borderId="5" xfId="0" applyNumberFormat="1" applyBorder="1" applyAlignment="1" applyProtection="1">
      <alignment horizontal="center"/>
    </xf>
    <xf numFmtId="1" fontId="17" fillId="0" borderId="5" xfId="0" applyNumberFormat="1" applyFont="1" applyBorder="1" applyAlignment="1" applyProtection="1">
      <alignment horizontal="center"/>
    </xf>
    <xf numFmtId="0" fontId="0" fillId="0" borderId="5" xfId="0" applyBorder="1" applyAlignment="1" applyProtection="1">
      <alignment horizontal="center"/>
    </xf>
    <xf numFmtId="0" fontId="0" fillId="0" borderId="5"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3"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5"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7" xfId="0" applyBorder="1" applyProtection="1"/>
    <xf numFmtId="0" fontId="0" fillId="0" borderId="17" xfId="0" applyBorder="1" applyAlignment="1" applyProtection="1">
      <alignment horizontal="center"/>
    </xf>
    <xf numFmtId="0" fontId="0" fillId="0" borderId="17"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0" fontId="0" fillId="0" borderId="27" xfId="0" applyBorder="1"/>
    <xf numFmtId="15" fontId="0" fillId="0" borderId="0" xfId="0" applyNumberFormat="1" applyProtection="1"/>
    <xf numFmtId="1" fontId="4" fillId="2" borderId="1" xfId="0" applyNumberFormat="1" applyFont="1" applyFill="1" applyBorder="1" applyAlignment="1" applyProtection="1">
      <alignment horizontal="center"/>
      <protection locked="0"/>
    </xf>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9"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9"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11" borderId="0" xfId="0" applyFill="1" applyAlignment="1">
      <alignment horizontal="center"/>
    </xf>
    <xf numFmtId="0" fontId="0" fillId="0" borderId="9"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165" fontId="4" fillId="10" borderId="1" xfId="0" applyNumberFormat="1" applyFont="1" applyFill="1" applyBorder="1" applyAlignment="1">
      <alignment horizontal="center"/>
    </xf>
    <xf numFmtId="0" fontId="0" fillId="0" borderId="0" xfId="0" applyAlignment="1">
      <alignment horizontal="center" vertical="center"/>
    </xf>
    <xf numFmtId="0" fontId="0" fillId="0" borderId="1" xfId="0" applyBorder="1" applyAlignment="1">
      <alignment horizontal="center"/>
    </xf>
    <xf numFmtId="0" fontId="4" fillId="0" borderId="0" xfId="0" applyFont="1" applyBorder="1" applyAlignment="1">
      <alignment horizontal="left" vertical="center" wrapText="1"/>
    </xf>
    <xf numFmtId="0" fontId="0" fillId="0" borderId="0" xfId="0" applyAlignment="1">
      <alignment horizontal="left" vertical="center"/>
    </xf>
    <xf numFmtId="0" fontId="4" fillId="10" borderId="0" xfId="0" applyFont="1" applyFill="1" applyAlignment="1">
      <alignment horizontal="center" vertical="center" wrapText="1"/>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7" borderId="1" xfId="0" applyFont="1" applyFill="1" applyBorder="1" applyAlignment="1">
      <alignment horizont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31" fillId="0" borderId="0" xfId="0" applyFont="1" applyAlignment="1">
      <alignment horizontal="center" vertical="center" textRotation="9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18" fillId="0" borderId="0" xfId="0" applyFont="1" applyAlignment="1">
      <alignment horizontal="center"/>
    </xf>
    <xf numFmtId="0" fontId="4" fillId="0" borderId="0" xfId="0" applyFont="1" applyAlignment="1">
      <alignment horizontal="center"/>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0" xfId="0" applyAlignment="1" applyProtection="1">
      <alignment horizontal="center"/>
      <protection locked="0"/>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0" fillId="0" borderId="1"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0" xfId="0" applyAlignment="1">
      <alignment horizontal="center" vertical="center" wrapText="1"/>
    </xf>
    <xf numFmtId="0" fontId="0" fillId="0" borderId="0" xfId="0" applyBorder="1" applyAlignment="1">
      <alignment horizontal="left"/>
    </xf>
    <xf numFmtId="0" fontId="9" fillId="0" borderId="0" xfId="0" applyFont="1" applyBorder="1" applyAlignment="1">
      <alignment horizontal="center" vertical="center" wrapText="1"/>
    </xf>
    <xf numFmtId="0" fontId="9" fillId="0" borderId="8"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top" wrapText="1"/>
    </xf>
    <xf numFmtId="0" fontId="36" fillId="0" borderId="0" xfId="0" applyFont="1" applyBorder="1" applyAlignment="1">
      <alignment horizontal="right" vertical="center"/>
    </xf>
    <xf numFmtId="0" fontId="36" fillId="0" borderId="8"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8" xfId="0" applyFont="1" applyBorder="1" applyAlignment="1">
      <alignment horizontal="right" vertical="center"/>
    </xf>
    <xf numFmtId="0" fontId="4" fillId="10" borderId="2" xfId="0" applyFont="1" applyFill="1" applyBorder="1" applyAlignment="1">
      <alignment horizontal="center"/>
    </xf>
    <xf numFmtId="0" fontId="4" fillId="10" borderId="4" xfId="0" applyFont="1" applyFill="1" applyBorder="1" applyAlignment="1">
      <alignment horizontal="center"/>
    </xf>
    <xf numFmtId="0" fontId="45" fillId="0" borderId="1" xfId="0" applyFont="1" applyBorder="1" applyAlignment="1">
      <alignment horizontal="center" vertical="center" textRotation="90" readingOrder="1"/>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0" fillId="0" borderId="0" xfId="0" applyBorder="1" applyAlignment="1">
      <alignment horizontal="left" vertical="center" wrapText="1"/>
    </xf>
    <xf numFmtId="0" fontId="51" fillId="7" borderId="1" xfId="0" applyFont="1" applyFill="1" applyBorder="1" applyAlignment="1">
      <alignment horizontal="center"/>
    </xf>
    <xf numFmtId="0" fontId="50" fillId="7" borderId="1" xfId="0" applyFont="1" applyFill="1" applyBorder="1" applyAlignment="1">
      <alignment horizontal="center"/>
    </xf>
    <xf numFmtId="0" fontId="4" fillId="10" borderId="10" xfId="0" applyFont="1" applyFill="1" applyBorder="1" applyAlignment="1">
      <alignment horizontal="center"/>
    </xf>
    <xf numFmtId="0" fontId="0" fillId="0" borderId="0" xfId="0" applyAlignment="1">
      <alignment horizontal="center" vertical="center"/>
    </xf>
    <xf numFmtId="0" fontId="0" fillId="0" borderId="1" xfId="0" applyBorder="1" applyAlignment="1">
      <alignment horizontal="center"/>
    </xf>
    <xf numFmtId="0" fontId="4" fillId="0" borderId="0" xfId="0" applyFont="1" applyBorder="1" applyAlignment="1">
      <alignment horizontal="left" vertical="center" wrapText="1"/>
    </xf>
    <xf numFmtId="0" fontId="0" fillId="0" borderId="0" xfId="0" applyAlignment="1">
      <alignment horizontal="left" vertical="center"/>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9" xfId="0" applyBorder="1" applyAlignment="1">
      <alignment horizontal="center" vertical="center" wrapText="1"/>
    </xf>
    <xf numFmtId="0" fontId="4" fillId="6" borderId="2" xfId="0" applyFont="1" applyFill="1" applyBorder="1" applyAlignment="1" applyProtection="1">
      <alignment horizontal="center"/>
      <protection locked="0"/>
    </xf>
    <xf numFmtId="0" fontId="4" fillId="6" borderId="4"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24" fillId="0" borderId="13" xfId="0" applyFont="1" applyBorder="1" applyAlignment="1">
      <alignment horizontal="left" vertical="center"/>
    </xf>
    <xf numFmtId="0" fontId="24" fillId="0" borderId="16" xfId="0" applyFont="1" applyBorder="1" applyAlignment="1">
      <alignment horizontal="left" vertical="center"/>
    </xf>
    <xf numFmtId="0" fontId="0" fillId="0" borderId="14" xfId="0" applyFont="1" applyBorder="1" applyAlignment="1">
      <alignment horizontal="left" vertical="center" wrapText="1"/>
    </xf>
    <xf numFmtId="0" fontId="0" fillId="0" borderId="15"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4" fillId="10" borderId="0" xfId="0" applyFont="1" applyFill="1" applyAlignment="1">
      <alignment horizontal="center" vertical="center" wrapText="1"/>
    </xf>
    <xf numFmtId="0" fontId="0" fillId="0" borderId="8" xfId="0" applyBorder="1" applyAlignment="1" applyProtection="1">
      <alignment horizontal="center"/>
    </xf>
    <xf numFmtId="0" fontId="4" fillId="0" borderId="0" xfId="0" applyFont="1" applyBorder="1" applyAlignment="1" applyProtection="1">
      <alignment horizontal="center" vertical="center"/>
    </xf>
    <xf numFmtId="0" fontId="4" fillId="0" borderId="6" xfId="0" applyFont="1" applyBorder="1" applyAlignment="1" applyProtection="1">
      <alignment horizontal="center" vertical="top" wrapText="1"/>
    </xf>
    <xf numFmtId="0" fontId="4" fillId="0" borderId="7" xfId="0" applyFont="1" applyBorder="1" applyAlignment="1" applyProtection="1">
      <alignment horizontal="center" vertical="top" wrapText="1"/>
    </xf>
    <xf numFmtId="0" fontId="18" fillId="15" borderId="10"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2" xfId="0" applyBorder="1" applyAlignment="1" applyProtection="1">
      <alignment horizontal="center" vertical="center" wrapText="1"/>
    </xf>
    <xf numFmtId="0" fontId="0" fillId="0" borderId="8" xfId="0" applyBorder="1" applyAlignment="1" applyProtection="1">
      <alignment horizontal="center" vertical="center"/>
    </xf>
    <xf numFmtId="0" fontId="4" fillId="0" borderId="6"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14" fillId="0" borderId="0" xfId="0" applyFont="1" applyAlignment="1" applyProtection="1">
      <alignment horizontal="center"/>
    </xf>
    <xf numFmtId="0" fontId="0" fillId="0" borderId="0" xfId="0" applyAlignment="1" applyProtection="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4" fillId="0" borderId="14"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4"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cellXfs>
  <cellStyles count="5">
    <cellStyle name="Comma" xfId="4" builtinId="3"/>
    <cellStyle name="Normal" xfId="0" builtinId="0"/>
    <cellStyle name="Normal 2" xfId="1" xr:uid="{00000000-0005-0000-0000-000002000000}"/>
    <cellStyle name="Normal 3" xfId="2" xr:uid="{00000000-0005-0000-0000-000003000000}"/>
    <cellStyle name="Normal 4" xfId="3" xr:uid="{00000000-0005-0000-0000-000004000000}"/>
  </cellStyles>
  <dxfs count="0"/>
  <tableStyles count="0" defaultTableStyle="TableStyleMedium2" defaultPivotStyle="PivotStyleLight16"/>
  <colors>
    <mruColors>
      <color rgb="FFB3E971"/>
      <color rgb="FFFFABFF"/>
      <color rgb="FFFF00FF"/>
      <color rgb="FFFF7DFF"/>
      <color rgb="FF69D8FF"/>
      <color rgb="FFFF8B8B"/>
      <color rgb="FFFFE5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8"/>
          <c:y val="4.3667727374786115E-2"/>
          <c:w val="0.77464173422335081"/>
          <c:h val="0.85664022664122796"/>
        </c:manualLayout>
      </c:layout>
      <c:areaChart>
        <c:grouping val="standard"/>
        <c:varyColors val="0"/>
        <c:ser>
          <c:idx val="1"/>
          <c:order val="0"/>
          <c:tx>
            <c:v>Adult bee pop</c:v>
          </c:tx>
          <c:spPr>
            <a:solidFill>
              <a:srgbClr val="FFE593"/>
            </a:solidFill>
            <a:ln>
              <a:solidFill>
                <a:srgbClr val="FFC000"/>
              </a:solidFill>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version'!$AL$4:$AL$28</c:f>
              <c:numCache>
                <c:formatCode>General</c:formatCode>
                <c:ptCount val="25"/>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pt idx="24">
                  <c:v>16000</c:v>
                </c:pt>
              </c:numCache>
            </c:numRef>
          </c:val>
          <c:extLst>
            <c:ext xmlns:c16="http://schemas.microsoft.com/office/drawing/2014/chart" uri="{C3380CC4-5D6E-409C-BE32-E72D297353CC}">
              <c16:uniqueId val="{00000000-CD3B-4DD5-B25F-2951135BBB27}"/>
            </c:ext>
          </c:extLst>
        </c:ser>
        <c:ser>
          <c:idx val="2"/>
          <c:order val="2"/>
          <c:tx>
            <c:v>Total pupae</c:v>
          </c:tx>
          <c:spPr>
            <a:solidFill>
              <a:srgbClr val="FFC000"/>
            </a:solidFill>
            <a:ln w="12700">
              <a:solidFill>
                <a:schemeClr val="accent6"/>
              </a:solidFill>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version'!$AP$4:$AP$28</c:f>
              <c:numCache>
                <c:formatCode>General</c:formatCode>
                <c:ptCount val="25"/>
                <c:pt idx="0">
                  <c:v>1350</c:v>
                </c:pt>
                <c:pt idx="1">
                  <c:v>8100</c:v>
                </c:pt>
                <c:pt idx="2">
                  <c:v>14850</c:v>
                </c:pt>
                <c:pt idx="3">
                  <c:v>18900</c:v>
                </c:pt>
                <c:pt idx="4">
                  <c:v>21600</c:v>
                </c:pt>
                <c:pt idx="5">
                  <c:v>27000</c:v>
                </c:pt>
                <c:pt idx="6">
                  <c:v>8100</c:v>
                </c:pt>
                <c:pt idx="7">
                  <c:v>8100</c:v>
                </c:pt>
                <c:pt idx="8">
                  <c:v>10800</c:v>
                </c:pt>
                <c:pt idx="9">
                  <c:v>13500</c:v>
                </c:pt>
                <c:pt idx="10">
                  <c:v>18900</c:v>
                </c:pt>
                <c:pt idx="11">
                  <c:v>18900</c:v>
                </c:pt>
                <c:pt idx="12">
                  <c:v>16200</c:v>
                </c:pt>
                <c:pt idx="13">
                  <c:v>13500</c:v>
                </c:pt>
                <c:pt idx="14">
                  <c:v>9450</c:v>
                </c:pt>
                <c:pt idx="15">
                  <c:v>9450</c:v>
                </c:pt>
                <c:pt idx="16">
                  <c:v>5400</c:v>
                </c:pt>
                <c:pt idx="17">
                  <c:v>8100</c:v>
                </c:pt>
                <c:pt idx="18">
                  <c:v>8100</c:v>
                </c:pt>
                <c:pt idx="19">
                  <c:v>6750</c:v>
                </c:pt>
                <c:pt idx="20">
                  <c:v>5400</c:v>
                </c:pt>
                <c:pt idx="21">
                  <c:v>1350</c:v>
                </c:pt>
                <c:pt idx="22">
                  <c:v>1350</c:v>
                </c:pt>
                <c:pt idx="23">
                  <c:v>0.6</c:v>
                </c:pt>
                <c:pt idx="24">
                  <c:v>0.6</c:v>
                </c:pt>
              </c:numCache>
            </c:numRef>
          </c:val>
          <c:extLst>
            <c:ext xmlns:c16="http://schemas.microsoft.com/office/drawing/2014/chart" uri="{C3380CC4-5D6E-409C-BE32-E72D297353CC}">
              <c16:uniqueId val="{00000001-CD3B-4DD5-B25F-2951135BBB27}"/>
            </c:ext>
          </c:extLst>
        </c:ser>
        <c:ser>
          <c:idx val="6"/>
          <c:order val="3"/>
          <c:tx>
            <c:v>Pupae parasitized</c:v>
          </c:tx>
          <c:spPr>
            <a:solidFill>
              <a:srgbClr val="FF0000">
                <a:alpha val="50000"/>
              </a:srgbClr>
            </a:solidFill>
            <a:ln w="12700">
              <a:solidFill>
                <a:srgbClr val="FF0000"/>
              </a:solidFill>
              <a:prstDash val="solid"/>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version'!$AQ$4:$AQ$28</c:f>
              <c:numCache>
                <c:formatCode>0</c:formatCode>
                <c:ptCount val="25"/>
                <c:pt idx="0">
                  <c:v>44.028306791646855</c:v>
                </c:pt>
                <c:pt idx="1">
                  <c:v>86.186297391665661</c:v>
                </c:pt>
                <c:pt idx="2">
                  <c:v>109.24044699801777</c:v>
                </c:pt>
                <c:pt idx="3">
                  <c:v>178.56931661924341</c:v>
                </c:pt>
                <c:pt idx="4">
                  <c:v>261.16286812419042</c:v>
                </c:pt>
                <c:pt idx="5">
                  <c:v>345.33414426391516</c:v>
                </c:pt>
                <c:pt idx="6">
                  <c:v>27.905924456965238</c:v>
                </c:pt>
                <c:pt idx="7">
                  <c:v>62.160319960728657</c:v>
                </c:pt>
                <c:pt idx="8">
                  <c:v>85.112077652687518</c:v>
                </c:pt>
                <c:pt idx="9">
                  <c:v>121.8956915497017</c:v>
                </c:pt>
                <c:pt idx="10">
                  <c:v>191.49575764479502</c:v>
                </c:pt>
                <c:pt idx="11">
                  <c:v>285.655321430838</c:v>
                </c:pt>
                <c:pt idx="12">
                  <c:v>424.21700927906585</c:v>
                </c:pt>
                <c:pt idx="13">
                  <c:v>283.02385468176686</c:v>
                </c:pt>
                <c:pt idx="14">
                  <c:v>364.94600922629928</c:v>
                </c:pt>
                <c:pt idx="15">
                  <c:v>516.85873164864233</c:v>
                </c:pt>
                <c:pt idx="16">
                  <c:v>68.042909894536635</c:v>
                </c:pt>
                <c:pt idx="17">
                  <c:v>210.05210614830034</c:v>
                </c:pt>
                <c:pt idx="18">
                  <c:v>381.80156824682166</c:v>
                </c:pt>
                <c:pt idx="19">
                  <c:v>521.17305331030809</c:v>
                </c:pt>
                <c:pt idx="20">
                  <c:v>645.49371402779025</c:v>
                </c:pt>
                <c:pt idx="21">
                  <c:v>509.94517224683057</c:v>
                </c:pt>
                <c:pt idx="22">
                  <c:v>63.377328158534226</c:v>
                </c:pt>
                <c:pt idx="23">
                  <c:v>0</c:v>
                </c:pt>
                <c:pt idx="24">
                  <c:v>0</c:v>
                </c:pt>
              </c:numCache>
            </c:numRef>
          </c:val>
          <c:extLst>
            <c:ext xmlns:c16="http://schemas.microsoft.com/office/drawing/2014/chart" uri="{C3380CC4-5D6E-409C-BE32-E72D297353CC}">
              <c16:uniqueId val="{00000002-CD3B-4DD5-B25F-2951135BBB27}"/>
            </c:ext>
          </c:extLst>
        </c:ser>
        <c:dLbls>
          <c:showLegendKey val="0"/>
          <c:showVal val="0"/>
          <c:showCatName val="0"/>
          <c:showSerName val="0"/>
          <c:showPercent val="0"/>
          <c:showBubbleSize val="0"/>
        </c:dLbls>
        <c:axId val="296081664"/>
        <c:axId val="296300544"/>
      </c:areaChart>
      <c:areaChart>
        <c:grouping val="standard"/>
        <c:varyColors val="0"/>
        <c:ser>
          <c:idx val="9"/>
          <c:order val="9"/>
          <c:tx>
            <c:v>crash</c:v>
          </c:tx>
          <c:spPr>
            <a:solidFill>
              <a:srgbClr val="FF0000"/>
            </a:solidFill>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CD3B-4DD5-B25F-2951135BBB27}"/>
            </c:ext>
          </c:extLst>
        </c:ser>
        <c:ser>
          <c:idx val="10"/>
          <c:order val="10"/>
          <c:tx>
            <c:v>Winter crash</c:v>
          </c:tx>
          <c:spPr>
            <a:solidFill>
              <a:srgbClr val="FF0000"/>
            </a:solidFill>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CD3B-4DD5-B25F-2951135BBB27}"/>
            </c:ext>
          </c:extLst>
        </c:ser>
        <c:dLbls>
          <c:showLegendKey val="0"/>
          <c:showVal val="0"/>
          <c:showCatName val="0"/>
          <c:showSerName val="0"/>
          <c:showPercent val="0"/>
          <c:showBubbleSize val="0"/>
        </c:dLbls>
        <c:axId val="296312832"/>
        <c:axId val="29630246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
                  <c:y val="2.2789636995775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3B-4DD5-B25F-2951135BBB27}"/>
                </c:ext>
              </c:extLst>
            </c:dLbl>
            <c:dLbl>
              <c:idx val="1"/>
              <c:delete val="1"/>
              <c:extLst>
                <c:ext xmlns:c15="http://schemas.microsoft.com/office/drawing/2012/chart" uri="{CE6537A1-D6FC-4f65-9D91-7224C49458BB}"/>
                <c:ext xmlns:c16="http://schemas.microsoft.com/office/drawing/2014/chart" uri="{C3380CC4-5D6E-409C-BE32-E72D297353CC}">
                  <c16:uniqueId val="{00000006-CD3B-4DD5-B25F-2951135BBB27}"/>
                </c:ext>
              </c:extLst>
            </c:dLbl>
            <c:dLbl>
              <c:idx val="2"/>
              <c:delete val="1"/>
              <c:extLst>
                <c:ext xmlns:c15="http://schemas.microsoft.com/office/drawing/2012/chart" uri="{CE6537A1-D6FC-4f65-9D91-7224C49458BB}"/>
                <c:ext xmlns:c16="http://schemas.microsoft.com/office/drawing/2014/chart" uri="{C3380CC4-5D6E-409C-BE32-E72D297353CC}">
                  <c16:uniqueId val="{00000007-CD3B-4DD5-B25F-2951135BBB27}"/>
                </c:ext>
              </c:extLst>
            </c:dLbl>
            <c:dLbl>
              <c:idx val="3"/>
              <c:delete val="1"/>
              <c:extLst>
                <c:ext xmlns:c15="http://schemas.microsoft.com/office/drawing/2012/chart" uri="{CE6537A1-D6FC-4f65-9D91-7224C49458BB}"/>
                <c:ext xmlns:c16="http://schemas.microsoft.com/office/drawing/2014/chart" uri="{C3380CC4-5D6E-409C-BE32-E72D297353CC}">
                  <c16:uniqueId val="{00000008-CD3B-4DD5-B25F-2951135BBB27}"/>
                </c:ext>
              </c:extLst>
            </c:dLbl>
            <c:dLbl>
              <c:idx val="4"/>
              <c:delete val="1"/>
              <c:extLst>
                <c:ext xmlns:c15="http://schemas.microsoft.com/office/drawing/2012/chart" uri="{CE6537A1-D6FC-4f65-9D91-7224C49458BB}"/>
                <c:ext xmlns:c16="http://schemas.microsoft.com/office/drawing/2014/chart" uri="{C3380CC4-5D6E-409C-BE32-E72D297353CC}">
                  <c16:uniqueId val="{00000009-CD3B-4DD5-B25F-2951135BBB27}"/>
                </c:ext>
              </c:extLst>
            </c:dLbl>
            <c:dLbl>
              <c:idx val="5"/>
              <c:delete val="1"/>
              <c:extLst>
                <c:ext xmlns:c15="http://schemas.microsoft.com/office/drawing/2012/chart" uri="{CE6537A1-D6FC-4f65-9D91-7224C49458BB}"/>
                <c:ext xmlns:c16="http://schemas.microsoft.com/office/drawing/2014/chart" uri="{C3380CC4-5D6E-409C-BE32-E72D297353CC}">
                  <c16:uniqueId val="{0000000A-CD3B-4DD5-B25F-2951135BBB27}"/>
                </c:ext>
              </c:extLst>
            </c:dLbl>
            <c:dLbl>
              <c:idx val="6"/>
              <c:delete val="1"/>
              <c:extLst>
                <c:ext xmlns:c15="http://schemas.microsoft.com/office/drawing/2012/chart" uri="{CE6537A1-D6FC-4f65-9D91-7224C49458BB}"/>
                <c:ext xmlns:c16="http://schemas.microsoft.com/office/drawing/2014/chart" uri="{C3380CC4-5D6E-409C-BE32-E72D297353CC}">
                  <c16:uniqueId val="{0000000B-CD3B-4DD5-B25F-2951135BBB27}"/>
                </c:ext>
              </c:extLst>
            </c:dLbl>
            <c:dLbl>
              <c:idx val="7"/>
              <c:delete val="1"/>
              <c:extLst>
                <c:ext xmlns:c15="http://schemas.microsoft.com/office/drawing/2012/chart" uri="{CE6537A1-D6FC-4f65-9D91-7224C49458BB}"/>
                <c:ext xmlns:c16="http://schemas.microsoft.com/office/drawing/2014/chart" uri="{C3380CC4-5D6E-409C-BE32-E72D297353CC}">
                  <c16:uniqueId val="{0000000C-CD3B-4DD5-B25F-2951135BBB27}"/>
                </c:ext>
              </c:extLst>
            </c:dLbl>
            <c:dLbl>
              <c:idx val="8"/>
              <c:delete val="1"/>
              <c:extLst>
                <c:ext xmlns:c15="http://schemas.microsoft.com/office/drawing/2012/chart" uri="{CE6537A1-D6FC-4f65-9D91-7224C49458BB}"/>
                <c:ext xmlns:c16="http://schemas.microsoft.com/office/drawing/2014/chart" uri="{C3380CC4-5D6E-409C-BE32-E72D297353CC}">
                  <c16:uniqueId val="{0000000D-CD3B-4DD5-B25F-2951135BBB27}"/>
                </c:ext>
              </c:extLst>
            </c:dLbl>
            <c:dLbl>
              <c:idx val="9"/>
              <c:delete val="1"/>
              <c:extLst>
                <c:ext xmlns:c15="http://schemas.microsoft.com/office/drawing/2012/chart" uri="{CE6537A1-D6FC-4f65-9D91-7224C49458BB}"/>
                <c:ext xmlns:c16="http://schemas.microsoft.com/office/drawing/2014/chart" uri="{C3380CC4-5D6E-409C-BE32-E72D297353CC}">
                  <c16:uniqueId val="{0000000E-CD3B-4DD5-B25F-2951135BBB27}"/>
                </c:ext>
              </c:extLst>
            </c:dLbl>
            <c:dLbl>
              <c:idx val="10"/>
              <c:delete val="1"/>
              <c:extLst>
                <c:ext xmlns:c15="http://schemas.microsoft.com/office/drawing/2012/chart" uri="{CE6537A1-D6FC-4f65-9D91-7224C49458BB}"/>
                <c:ext xmlns:c16="http://schemas.microsoft.com/office/drawing/2014/chart" uri="{C3380CC4-5D6E-409C-BE32-E72D297353CC}">
                  <c16:uniqueId val="{0000000F-CD3B-4DD5-B25F-2951135BBB27}"/>
                </c:ext>
              </c:extLst>
            </c:dLbl>
            <c:dLbl>
              <c:idx val="11"/>
              <c:delete val="1"/>
              <c:extLst>
                <c:ext xmlns:c15="http://schemas.microsoft.com/office/drawing/2012/chart" uri="{CE6537A1-D6FC-4f65-9D91-7224C49458BB}"/>
                <c:ext xmlns:c16="http://schemas.microsoft.com/office/drawing/2014/chart" uri="{C3380CC4-5D6E-409C-BE32-E72D297353CC}">
                  <c16:uniqueId val="{00000010-CD3B-4DD5-B25F-2951135BBB27}"/>
                </c:ext>
              </c:extLst>
            </c:dLbl>
            <c:dLbl>
              <c:idx val="12"/>
              <c:delete val="1"/>
              <c:extLst>
                <c:ext xmlns:c15="http://schemas.microsoft.com/office/drawing/2012/chart" uri="{CE6537A1-D6FC-4f65-9D91-7224C49458BB}"/>
                <c:ext xmlns:c16="http://schemas.microsoft.com/office/drawing/2014/chart" uri="{C3380CC4-5D6E-409C-BE32-E72D297353CC}">
                  <c16:uniqueId val="{00000011-CD3B-4DD5-B25F-2951135BBB27}"/>
                </c:ext>
              </c:extLst>
            </c:dLbl>
            <c:dLbl>
              <c:idx val="13"/>
              <c:delete val="1"/>
              <c:extLst>
                <c:ext xmlns:c15="http://schemas.microsoft.com/office/drawing/2012/chart" uri="{CE6537A1-D6FC-4f65-9D91-7224C49458BB}"/>
                <c:ext xmlns:c16="http://schemas.microsoft.com/office/drawing/2014/chart" uri="{C3380CC4-5D6E-409C-BE32-E72D297353CC}">
                  <c16:uniqueId val="{00000012-CD3B-4DD5-B25F-2951135BBB27}"/>
                </c:ext>
              </c:extLst>
            </c:dLbl>
            <c:dLbl>
              <c:idx val="14"/>
              <c:delete val="1"/>
              <c:extLst>
                <c:ext xmlns:c15="http://schemas.microsoft.com/office/drawing/2012/chart" uri="{CE6537A1-D6FC-4f65-9D91-7224C49458BB}"/>
                <c:ext xmlns:c16="http://schemas.microsoft.com/office/drawing/2014/chart" uri="{C3380CC4-5D6E-409C-BE32-E72D297353CC}">
                  <c16:uniqueId val="{00000013-CD3B-4DD5-B25F-2951135BBB27}"/>
                </c:ext>
              </c:extLst>
            </c:dLbl>
            <c:dLbl>
              <c:idx val="15"/>
              <c:delete val="1"/>
              <c:extLst>
                <c:ext xmlns:c15="http://schemas.microsoft.com/office/drawing/2012/chart" uri="{CE6537A1-D6FC-4f65-9D91-7224C49458BB}"/>
                <c:ext xmlns:c16="http://schemas.microsoft.com/office/drawing/2014/chart" uri="{C3380CC4-5D6E-409C-BE32-E72D297353CC}">
                  <c16:uniqueId val="{00000014-CD3B-4DD5-B25F-2951135BBB27}"/>
                </c:ext>
              </c:extLst>
            </c:dLbl>
            <c:dLbl>
              <c:idx val="16"/>
              <c:delete val="1"/>
              <c:extLst>
                <c:ext xmlns:c15="http://schemas.microsoft.com/office/drawing/2012/chart" uri="{CE6537A1-D6FC-4f65-9D91-7224C49458BB}"/>
                <c:ext xmlns:c16="http://schemas.microsoft.com/office/drawing/2014/chart" uri="{C3380CC4-5D6E-409C-BE32-E72D297353CC}">
                  <c16:uniqueId val="{00000015-CD3B-4DD5-B25F-2951135BBB27}"/>
                </c:ext>
              </c:extLst>
            </c:dLbl>
            <c:dLbl>
              <c:idx val="17"/>
              <c:delete val="1"/>
              <c:extLst>
                <c:ext xmlns:c15="http://schemas.microsoft.com/office/drawing/2012/chart" uri="{CE6537A1-D6FC-4f65-9D91-7224C49458BB}"/>
                <c:ext xmlns:c16="http://schemas.microsoft.com/office/drawing/2014/chart" uri="{C3380CC4-5D6E-409C-BE32-E72D297353CC}">
                  <c16:uniqueId val="{00000016-CD3B-4DD5-B25F-2951135BBB27}"/>
                </c:ext>
              </c:extLst>
            </c:dLbl>
            <c:dLbl>
              <c:idx val="18"/>
              <c:delete val="1"/>
              <c:extLst>
                <c:ext xmlns:c15="http://schemas.microsoft.com/office/drawing/2012/chart" uri="{CE6537A1-D6FC-4f65-9D91-7224C49458BB}"/>
                <c:ext xmlns:c16="http://schemas.microsoft.com/office/drawing/2014/chart" uri="{C3380CC4-5D6E-409C-BE32-E72D297353CC}">
                  <c16:uniqueId val="{00000017-CD3B-4DD5-B25F-2951135BBB27}"/>
                </c:ext>
              </c:extLst>
            </c:dLbl>
            <c:dLbl>
              <c:idx val="19"/>
              <c:delete val="1"/>
              <c:extLst>
                <c:ext xmlns:c15="http://schemas.microsoft.com/office/drawing/2012/chart" uri="{CE6537A1-D6FC-4f65-9D91-7224C49458BB}"/>
                <c:ext xmlns:c16="http://schemas.microsoft.com/office/drawing/2014/chart" uri="{C3380CC4-5D6E-409C-BE32-E72D297353CC}">
                  <c16:uniqueId val="{00000018-CD3B-4DD5-B25F-2951135BBB27}"/>
                </c:ext>
              </c:extLst>
            </c:dLbl>
            <c:dLbl>
              <c:idx val="20"/>
              <c:delete val="1"/>
              <c:extLst>
                <c:ext xmlns:c15="http://schemas.microsoft.com/office/drawing/2012/chart" uri="{CE6537A1-D6FC-4f65-9D91-7224C49458BB}"/>
                <c:ext xmlns:c16="http://schemas.microsoft.com/office/drawing/2014/chart" uri="{C3380CC4-5D6E-409C-BE32-E72D297353CC}">
                  <c16:uniqueId val="{00000019-CD3B-4DD5-B25F-2951135BBB27}"/>
                </c:ext>
              </c:extLst>
            </c:dLbl>
            <c:dLbl>
              <c:idx val="21"/>
              <c:delete val="1"/>
              <c:extLst>
                <c:ext xmlns:c15="http://schemas.microsoft.com/office/drawing/2012/chart" uri="{CE6537A1-D6FC-4f65-9D91-7224C49458BB}"/>
                <c:ext xmlns:c16="http://schemas.microsoft.com/office/drawing/2014/chart" uri="{C3380CC4-5D6E-409C-BE32-E72D297353CC}">
                  <c16:uniqueId val="{0000001A-CD3B-4DD5-B25F-2951135BBB27}"/>
                </c:ext>
              </c:extLst>
            </c:dLbl>
            <c:dLbl>
              <c:idx val="22"/>
              <c:delete val="1"/>
              <c:extLst>
                <c:ext xmlns:c15="http://schemas.microsoft.com/office/drawing/2012/chart" uri="{CE6537A1-D6FC-4f65-9D91-7224C49458BB}"/>
                <c:ext xmlns:c16="http://schemas.microsoft.com/office/drawing/2014/chart" uri="{C3380CC4-5D6E-409C-BE32-E72D297353CC}">
                  <c16:uniqueId val="{0000001B-CD3B-4DD5-B25F-2951135BBB27}"/>
                </c:ext>
              </c:extLst>
            </c:dLbl>
            <c:dLbl>
              <c:idx val="23"/>
              <c:delete val="1"/>
              <c:extLst>
                <c:ext xmlns:c15="http://schemas.microsoft.com/office/drawing/2012/chart" uri="{CE6537A1-D6FC-4f65-9D91-7224C49458BB}"/>
                <c:ext xmlns:c16="http://schemas.microsoft.com/office/drawing/2014/chart" uri="{C3380CC4-5D6E-409C-BE32-E72D297353CC}">
                  <c16:uniqueId val="{0000001C-CD3B-4DD5-B25F-2951135BBB27}"/>
                </c:ext>
              </c:extLst>
            </c:dLbl>
            <c:dLbl>
              <c:idx val="24"/>
              <c:layout>
                <c:manualLayout>
                  <c:x val="0.80249149630187544"/>
                  <c:y val="3.41844554936633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D3B-4DD5-B25F-2951135BBB27}"/>
                </c:ext>
              </c:extLst>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version'!$V$4:$V$28</c:f>
              <c:numCache>
                <c:formatCode>#,##0</c:formatCode>
                <c:ptCount val="25"/>
                <c:pt idx="0">
                  <c:v>100</c:v>
                </c:pt>
                <c:pt idx="1">
                  <c:v>128.88540280554895</c:v>
                </c:pt>
                <c:pt idx="2">
                  <c:v>153.55826438813824</c:v>
                </c:pt>
                <c:pt idx="3">
                  <c:v>246.63834320520533</c:v>
                </c:pt>
                <c:pt idx="4">
                  <c:v>389.86865855100729</c:v>
                </c:pt>
                <c:pt idx="5">
                  <c:v>606.16320062710031</c:v>
                </c:pt>
                <c:pt idx="6">
                  <c:v>49.699078446118278</c:v>
                </c:pt>
                <c:pt idx="7">
                  <c:v>82.728858411920797</c:v>
                </c:pt>
                <c:pt idx="8">
                  <c:v>121.62929790311125</c:v>
                </c:pt>
                <c:pt idx="9">
                  <c:v>192.97834500972033</c:v>
                </c:pt>
                <c:pt idx="10">
                  <c:v>303.33377123206833</c:v>
                </c:pt>
                <c:pt idx="11">
                  <c:v>488.35870320108069</c:v>
                </c:pt>
                <c:pt idx="12">
                  <c:v>725.76144448958723</c:v>
                </c:pt>
                <c:pt idx="13">
                  <c:v>497.97448502517841</c:v>
                </c:pt>
                <c:pt idx="14">
                  <c:v>680.5291848295293</c:v>
                </c:pt>
                <c:pt idx="15">
                  <c:v>935.44052548322566</c:v>
                </c:pt>
                <c:pt idx="16">
                  <c:v>130.22385682919185</c:v>
                </c:pt>
                <c:pt idx="17">
                  <c:v>352.52154494388719</c:v>
                </c:pt>
                <c:pt idx="18">
                  <c:v>618.09686377430626</c:v>
                </c:pt>
                <c:pt idx="19">
                  <c:v>874.60912297357754</c:v>
                </c:pt>
                <c:pt idx="20">
                  <c:v>1138.6981786124636</c:v>
                </c:pt>
                <c:pt idx="21">
                  <c:v>1395.1042833581921</c:v>
                </c:pt>
                <c:pt idx="22">
                  <c:v>145.01778957875399</c:v>
                </c:pt>
                <c:pt idx="23">
                  <c:v>185.53212385860058</c:v>
                </c:pt>
                <c:pt idx="24">
                  <c:v>158.52247922217782</c:v>
                </c:pt>
              </c:numCache>
            </c:numRef>
          </c:val>
          <c:smooth val="0"/>
          <c:extLst>
            <c:ext xmlns:c16="http://schemas.microsoft.com/office/drawing/2014/chart" uri="{C3380CC4-5D6E-409C-BE32-E72D297353CC}">
              <c16:uniqueId val="{0000001E-CD3B-4DD5-B25F-2951135BBB27}"/>
            </c:ext>
          </c:extLst>
        </c:ser>
        <c:ser>
          <c:idx val="7"/>
          <c:order val="7"/>
          <c:tx>
            <c:v>Mite immigration</c:v>
          </c:tx>
          <c:spPr>
            <a:ln>
              <a:noFill/>
              <a:prstDash val="sysDot"/>
            </a:ln>
          </c:spPr>
          <c:marker>
            <c:symbol val="none"/>
          </c:marke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version'!$CG$4:$CG$28</c:f>
              <c:numCache>
                <c:formatCode>0</c:formatCode>
                <c:ptCount val="25"/>
                <c:pt idx="0">
                  <c:v>0</c:v>
                </c:pt>
                <c:pt idx="1">
                  <c:v>0</c:v>
                </c:pt>
                <c:pt idx="2">
                  <c:v>0</c:v>
                </c:pt>
                <c:pt idx="3">
                  <c:v>0</c:v>
                </c:pt>
                <c:pt idx="4">
                  <c:v>0</c:v>
                </c:pt>
                <c:pt idx="5">
                  <c:v>0</c:v>
                </c:pt>
                <c:pt idx="6">
                  <c:v>0</c:v>
                </c:pt>
                <c:pt idx="7">
                  <c:v>0</c:v>
                </c:pt>
                <c:pt idx="8">
                  <c:v>0</c:v>
                </c:pt>
                <c:pt idx="9">
                  <c:v>0</c:v>
                </c:pt>
                <c:pt idx="10">
                  <c:v>10</c:v>
                </c:pt>
                <c:pt idx="11">
                  <c:v>10</c:v>
                </c:pt>
                <c:pt idx="12">
                  <c:v>21</c:v>
                </c:pt>
                <c:pt idx="13">
                  <c:v>45</c:v>
                </c:pt>
                <c:pt idx="14">
                  <c:v>130</c:v>
                </c:pt>
                <c:pt idx="15">
                  <c:v>175</c:v>
                </c:pt>
                <c:pt idx="16">
                  <c:v>210</c:v>
                </c:pt>
                <c:pt idx="17">
                  <c:v>180</c:v>
                </c:pt>
                <c:pt idx="18">
                  <c:v>130</c:v>
                </c:pt>
                <c:pt idx="19">
                  <c:v>75</c:v>
                </c:pt>
                <c:pt idx="20">
                  <c:v>14</c:v>
                </c:pt>
                <c:pt idx="21">
                  <c:v>0</c:v>
                </c:pt>
                <c:pt idx="22">
                  <c:v>0</c:v>
                </c:pt>
                <c:pt idx="23">
                  <c:v>0</c:v>
                </c:pt>
                <c:pt idx="24">
                  <c:v>0</c:v>
                </c:pt>
              </c:numCache>
            </c:numRef>
          </c:val>
          <c:smooth val="0"/>
          <c:extLst>
            <c:ext xmlns:c16="http://schemas.microsoft.com/office/drawing/2014/chart" uri="{C3380CC4-5D6E-409C-BE32-E72D297353CC}">
              <c16:uniqueId val="{0000001F-CD3B-4DD5-B25F-2951135BBB27}"/>
            </c:ext>
          </c:extLst>
        </c:ser>
        <c:dLbls>
          <c:showLegendKey val="0"/>
          <c:showVal val="0"/>
          <c:showCatName val="0"/>
          <c:showSerName val="0"/>
          <c:showPercent val="0"/>
          <c:showBubbleSize val="0"/>
        </c:dLbls>
        <c:marker val="1"/>
        <c:smooth val="0"/>
        <c:axId val="296081664"/>
        <c:axId val="296300544"/>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version'!$Y$4:$Y$28</c:f>
              <c:numCache>
                <c:formatCode>0</c:formatCode>
                <c:ptCount val="25"/>
                <c:pt idx="0">
                  <c:v>1.0874928302843625</c:v>
                </c:pt>
                <c:pt idx="1">
                  <c:v>0.83154690999650749</c:v>
                </c:pt>
                <c:pt idx="2">
                  <c:v>0.59718333787523048</c:v>
                </c:pt>
                <c:pt idx="3">
                  <c:v>0.75345076684360646</c:v>
                </c:pt>
                <c:pt idx="4">
                  <c:v>1.0315422441167832</c:v>
                </c:pt>
                <c:pt idx="5">
                  <c:v>1.283063789943677</c:v>
                </c:pt>
                <c:pt idx="6">
                  <c:v>0.35346384119733759</c:v>
                </c:pt>
                <c:pt idx="7">
                  <c:v>0.58837429156459742</c:v>
                </c:pt>
                <c:pt idx="8">
                  <c:v>0.65071510419027756</c:v>
                </c:pt>
                <c:pt idx="9">
                  <c:v>0.81695334348596016</c:v>
                </c:pt>
                <c:pt idx="10">
                  <c:v>0.91723666340372256</c:v>
                </c:pt>
                <c:pt idx="11">
                  <c:v>1.3707920689013067</c:v>
                </c:pt>
                <c:pt idx="12">
                  <c:v>2.0428269952388121</c:v>
                </c:pt>
                <c:pt idx="13">
                  <c:v>1.463155246305722</c:v>
                </c:pt>
                <c:pt idx="14">
                  <c:v>2.3901263478678696</c:v>
                </c:pt>
                <c:pt idx="15">
                  <c:v>3.6780468269599869</c:v>
                </c:pt>
                <c:pt idx="16">
                  <c:v>0.68970202928730251</c:v>
                </c:pt>
                <c:pt idx="17">
                  <c:v>1.8335342092770903</c:v>
                </c:pt>
                <c:pt idx="18">
                  <c:v>3.575310571476749</c:v>
                </c:pt>
                <c:pt idx="19">
                  <c:v>5.8137865986653967</c:v>
                </c:pt>
                <c:pt idx="20">
                  <c:v>8.8838913300737392</c:v>
                </c:pt>
                <c:pt idx="21">
                  <c:v>16.980167791374157</c:v>
                </c:pt>
                <c:pt idx="22">
                  <c:v>1.5770580643058134</c:v>
                </c:pt>
                <c:pt idx="23">
                  <c:v>3.6526636884661987</c:v>
                </c:pt>
                <c:pt idx="24">
                  <c:v>3.1209113096866261</c:v>
                </c:pt>
              </c:numCache>
            </c:numRef>
          </c:val>
          <c:smooth val="0"/>
          <c:extLst>
            <c:ext xmlns:c16="http://schemas.microsoft.com/office/drawing/2014/chart" uri="{C3380CC4-5D6E-409C-BE32-E72D297353CC}">
              <c16:uniqueId val="{00000020-CD3B-4DD5-B25F-2951135BBB27}"/>
            </c:ext>
          </c:extLst>
        </c:ser>
        <c:ser>
          <c:idx val="4"/>
          <c:order val="5"/>
          <c:tx>
            <c:v>U.S. average wash</c:v>
          </c:tx>
          <c:spPr>
            <a:ln w="25400">
              <a:noFill/>
              <a:prstDash val="dash"/>
            </a:ln>
          </c:spPr>
          <c:marker>
            <c:symbol val="none"/>
          </c:marke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extLst>
            <c:ext xmlns:c16="http://schemas.microsoft.com/office/drawing/2014/chart" uri="{C3380CC4-5D6E-409C-BE32-E72D297353CC}">
              <c16:uniqueId val="{00000021-CD3B-4DD5-B25F-2951135BBB27}"/>
            </c:ext>
          </c:extLst>
        </c:ser>
        <c:ser>
          <c:idx val="5"/>
          <c:order val="6"/>
          <c:tx>
            <c:v>Treatment &amp; efficacy</c:v>
          </c:tx>
          <c:spPr>
            <a:ln>
              <a:noFill/>
            </a:ln>
          </c:spPr>
          <c:marker>
            <c:symbol val="triangle"/>
            <c:size val="16"/>
            <c:spPr>
              <a:solidFill>
                <a:schemeClr val="tx1"/>
              </a:solidFill>
              <a:ln>
                <a:noFill/>
              </a:ln>
            </c:spPr>
          </c:marker>
          <c:dPt>
            <c:idx val="24"/>
            <c:marker>
              <c:symbol val="none"/>
            </c:marker>
            <c:bubble3D val="0"/>
            <c:extLst>
              <c:ext xmlns:c16="http://schemas.microsoft.com/office/drawing/2014/chart" uri="{C3380CC4-5D6E-409C-BE32-E72D297353CC}">
                <c16:uniqueId val="{00000022-CD3B-4DD5-B25F-2951135BBB27}"/>
              </c:ext>
            </c:extLst>
          </c:dPt>
          <c:dLbls>
            <c:dLbl>
              <c:idx val="24"/>
              <c:delete val="1"/>
              <c:extLst>
                <c:ext xmlns:c15="http://schemas.microsoft.com/office/drawing/2012/chart" uri="{CE6537A1-D6FC-4f65-9D91-7224C49458BB}"/>
                <c:ext xmlns:c16="http://schemas.microsoft.com/office/drawing/2014/chart" uri="{C3380CC4-5D6E-409C-BE32-E72D297353CC}">
                  <c16:uniqueId val="{00000022-CD3B-4DD5-B25F-2951135BBB27}"/>
                </c:ext>
              </c:extLst>
            </c:dLbl>
            <c:spPr>
              <a:noFill/>
              <a:ln>
                <a:noFill/>
              </a:ln>
              <a:effectLst/>
            </c:spPr>
            <c:txPr>
              <a:bodyPr/>
              <a:lstStyle/>
              <a:p>
                <a:pPr>
                  <a:defRPr sz="12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version'!$T$4:$T$28</c:f>
              <c:numCache>
                <c:formatCode>0%</c:formatCode>
                <c:ptCount val="25"/>
                <c:pt idx="5">
                  <c:v>0.95</c:v>
                </c:pt>
                <c:pt idx="12">
                  <c:v>0.5</c:v>
                </c:pt>
                <c:pt idx="15">
                  <c:v>0.9</c:v>
                </c:pt>
                <c:pt idx="21">
                  <c:v>0.9</c:v>
                </c:pt>
                <c:pt idx="24" formatCode="General">
                  <c:v>0</c:v>
                </c:pt>
              </c:numCache>
            </c:numRef>
          </c:val>
          <c:smooth val="0"/>
          <c:extLst>
            <c:ext xmlns:c16="http://schemas.microsoft.com/office/drawing/2014/chart" uri="{C3380CC4-5D6E-409C-BE32-E72D297353CC}">
              <c16:uniqueId val="{00000023-CD3B-4DD5-B25F-2951135BBB27}"/>
            </c:ext>
          </c:extLst>
        </c:ser>
        <c:ser>
          <c:idx val="8"/>
          <c:order val="8"/>
          <c:tx>
            <c:v>r value</c:v>
          </c:tx>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version'!$R$24</c:f>
              <c:numCache>
                <c:formatCode>0.000</c:formatCode>
                <c:ptCount val="1"/>
                <c:pt idx="0">
                  <c:v>9.4741388669757134E-3</c:v>
                </c:pt>
              </c:numCache>
            </c:numRef>
          </c:val>
          <c:smooth val="0"/>
          <c:extLst>
            <c:ext xmlns:c16="http://schemas.microsoft.com/office/drawing/2014/chart" uri="{C3380CC4-5D6E-409C-BE32-E72D297353CC}">
              <c16:uniqueId val="{00000024-CD3B-4DD5-B25F-2951135BBB27}"/>
            </c:ext>
          </c:extLst>
        </c:ser>
        <c:dLbls>
          <c:showLegendKey val="0"/>
          <c:showVal val="0"/>
          <c:showCatName val="0"/>
          <c:showSerName val="0"/>
          <c:showPercent val="0"/>
          <c:showBubbleSize val="0"/>
        </c:dLbls>
        <c:marker val="1"/>
        <c:smooth val="0"/>
        <c:axId val="296312832"/>
        <c:axId val="296302464"/>
      </c:lineChart>
      <c:dateAx>
        <c:axId val="296081664"/>
        <c:scaling>
          <c:orientation val="minMax"/>
        </c:scaling>
        <c:delete val="0"/>
        <c:axPos val="b"/>
        <c:numFmt formatCode="[$-409]d\-mmm;@" sourceLinked="1"/>
        <c:majorTickMark val="out"/>
        <c:minorTickMark val="none"/>
        <c:tickLblPos val="nextTo"/>
        <c:crossAx val="296300544"/>
        <c:crosses val="autoZero"/>
        <c:auto val="1"/>
        <c:lblOffset val="100"/>
        <c:baseTimeUnit val="days"/>
        <c:majorUnit val="1"/>
        <c:majorTimeUnit val="months"/>
        <c:minorUnit val="1"/>
        <c:minorTimeUnit val="months"/>
      </c:dateAx>
      <c:valAx>
        <c:axId val="296300544"/>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6E-2"/>
              <c:y val="2.1617088089280978E-2"/>
            </c:manualLayout>
          </c:layout>
          <c:overlay val="0"/>
        </c:title>
        <c:numFmt formatCode="#,##0" sourceLinked="0"/>
        <c:majorTickMark val="out"/>
        <c:minorTickMark val="none"/>
        <c:tickLblPos val="nextTo"/>
        <c:txPr>
          <a:bodyPr/>
          <a:lstStyle/>
          <a:p>
            <a:pPr>
              <a:defRPr sz="800"/>
            </a:pPr>
            <a:endParaRPr lang="en-US"/>
          </a:p>
        </c:txPr>
        <c:crossAx val="296081664"/>
        <c:crossesAt val="40544"/>
        <c:crossBetween val="midCat"/>
      </c:valAx>
      <c:valAx>
        <c:axId val="29630246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33"/>
              <c:y val="0.16810172357821784"/>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96312832"/>
        <c:crosses val="max"/>
        <c:crossBetween val="between"/>
      </c:valAx>
      <c:dateAx>
        <c:axId val="296312832"/>
        <c:scaling>
          <c:orientation val="minMax"/>
        </c:scaling>
        <c:delete val="1"/>
        <c:axPos val="b"/>
        <c:numFmt formatCode="[$-409]d\-mmm;@" sourceLinked="1"/>
        <c:majorTickMark val="out"/>
        <c:minorTickMark val="none"/>
        <c:tickLblPos val="nextTo"/>
        <c:crossAx val="29630246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1"/>
          <c:y val="5.0022794769701409E-2"/>
          <c:w val="0.2484079129035453"/>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extLst>
            <c:ext xmlns:c16="http://schemas.microsoft.com/office/drawing/2014/chart" uri="{C3380CC4-5D6E-409C-BE32-E72D297353CC}">
              <c16:uniqueId val="{00000000-8B60-4D43-B0D0-3F01ED768C54}"/>
            </c:ext>
          </c:extLst>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Colony!$M$31:$M$54</c:f>
              <c:numCache>
                <c:formatCode>General</c:formatCode>
                <c:ptCount val="24"/>
                <c:pt idx="0">
                  <c:v>0</c:v>
                </c:pt>
                <c:pt idx="1">
                  <c:v>1125</c:v>
                </c:pt>
                <c:pt idx="2">
                  <c:v>2250</c:v>
                </c:pt>
                <c:pt idx="3">
                  <c:v>2250</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extLst>
            <c:ext xmlns:c16="http://schemas.microsoft.com/office/drawing/2014/chart" uri="{C3380CC4-5D6E-409C-BE32-E72D297353CC}">
              <c16:uniqueId val="{00000001-8B60-4D43-B0D0-3F01ED768C54}"/>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8B60-4D43-B0D0-3F01ED768C54}"/>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3-8B60-4D43-B0D0-3F01ED768C54}"/>
            </c:ext>
          </c:extLst>
        </c:ser>
        <c:dLbls>
          <c:showLegendKey val="0"/>
          <c:showVal val="0"/>
          <c:showCatName val="0"/>
          <c:showSerName val="0"/>
          <c:showPercent val="0"/>
          <c:showBubbleSize val="0"/>
        </c:dLbls>
        <c:marker val="1"/>
        <c:smooth val="0"/>
        <c:axId val="320290816"/>
        <c:axId val="320292352"/>
      </c:lineChart>
      <c:dateAx>
        <c:axId val="320290816"/>
        <c:scaling>
          <c:orientation val="minMax"/>
        </c:scaling>
        <c:delete val="0"/>
        <c:axPos val="b"/>
        <c:numFmt formatCode="[$-409]d\-mmm;@" sourceLinked="1"/>
        <c:majorTickMark val="cross"/>
        <c:minorTickMark val="none"/>
        <c:tickLblPos val="nextTo"/>
        <c:txPr>
          <a:bodyPr/>
          <a:lstStyle/>
          <a:p>
            <a:pPr>
              <a:defRPr b="1"/>
            </a:pPr>
            <a:endParaRPr lang="en-US"/>
          </a:p>
        </c:txPr>
        <c:crossAx val="320292352"/>
        <c:crosses val="autoZero"/>
        <c:auto val="1"/>
        <c:lblOffset val="100"/>
        <c:baseTimeUnit val="days"/>
      </c:dateAx>
      <c:valAx>
        <c:axId val="32029235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320290816"/>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extLst>
            <c:ext xmlns:c16="http://schemas.microsoft.com/office/drawing/2014/chart" uri="{C3380CC4-5D6E-409C-BE32-E72D297353CC}">
              <c16:uniqueId val="{00000000-A99E-4CBA-B2AF-B5761669CBCE}"/>
            </c:ext>
          </c:extLst>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extLst>
            <c:ext xmlns:c16="http://schemas.microsoft.com/office/drawing/2014/chart" uri="{C3380CC4-5D6E-409C-BE32-E72D297353CC}">
              <c16:uniqueId val="{00000001-A99E-4CBA-B2AF-B5761669CBCE}"/>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A99E-4CBA-B2AF-B5761669CBCE}"/>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3-A99E-4CBA-B2AF-B5761669CBCE}"/>
            </c:ext>
          </c:extLst>
        </c:ser>
        <c:dLbls>
          <c:showLegendKey val="0"/>
          <c:showVal val="0"/>
          <c:showCatName val="0"/>
          <c:showSerName val="0"/>
          <c:showPercent val="0"/>
          <c:showBubbleSize val="0"/>
        </c:dLbls>
        <c:marker val="1"/>
        <c:smooth val="0"/>
        <c:axId val="320868352"/>
        <c:axId val="320869888"/>
      </c:lineChart>
      <c:dateAx>
        <c:axId val="320868352"/>
        <c:scaling>
          <c:orientation val="minMax"/>
        </c:scaling>
        <c:delete val="0"/>
        <c:axPos val="b"/>
        <c:numFmt formatCode="[$-409]d\-mmm;@" sourceLinked="1"/>
        <c:majorTickMark val="cross"/>
        <c:minorTickMark val="none"/>
        <c:tickLblPos val="nextTo"/>
        <c:txPr>
          <a:bodyPr/>
          <a:lstStyle/>
          <a:p>
            <a:pPr>
              <a:defRPr b="1"/>
            </a:pPr>
            <a:endParaRPr lang="en-US"/>
          </a:p>
        </c:txPr>
        <c:crossAx val="320869888"/>
        <c:crosses val="autoZero"/>
        <c:auto val="1"/>
        <c:lblOffset val="100"/>
        <c:baseTimeUnit val="days"/>
      </c:dateAx>
      <c:valAx>
        <c:axId val="32086988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32086835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Colony!$AE$4:$AE$27</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BBDF-43B6-80D2-4CE38F1136AE}"/>
            </c:ext>
          </c:extLst>
        </c:ser>
        <c:ser>
          <c:idx val="0"/>
          <c:order val="1"/>
          <c:tx>
            <c:v>Setting 1</c:v>
          </c:tx>
          <c:spPr>
            <a:ln>
              <a:solidFill>
                <a:srgbClr val="69D8FF"/>
              </a:solidFill>
            </a:ln>
          </c:spPr>
          <c:marker>
            <c:symbol val="circle"/>
            <c:size val="5"/>
            <c:spPr>
              <a:solidFill>
                <a:srgbClr val="00B0F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Colony!$AF$4:$AF$27</c:f>
              <c:numCache>
                <c:formatCode>General</c:formatCode>
                <c:ptCount val="24"/>
                <c:pt idx="10">
                  <c:v>5</c:v>
                </c:pt>
                <c:pt idx="11">
                  <c:v>5</c:v>
                </c:pt>
                <c:pt idx="12">
                  <c:v>15</c:v>
                </c:pt>
                <c:pt idx="13">
                  <c:v>20</c:v>
                </c:pt>
                <c:pt idx="14">
                  <c:v>50</c:v>
                </c:pt>
                <c:pt idx="15">
                  <c:v>100</c:v>
                </c:pt>
                <c:pt idx="16">
                  <c:v>125</c:v>
                </c:pt>
                <c:pt idx="17">
                  <c:v>100</c:v>
                </c:pt>
                <c:pt idx="18">
                  <c:v>50</c:v>
                </c:pt>
                <c:pt idx="19">
                  <c:v>25</c:v>
                </c:pt>
                <c:pt idx="20">
                  <c:v>5</c:v>
                </c:pt>
              </c:numCache>
            </c:numRef>
          </c:val>
          <c:smooth val="0"/>
          <c:extLst>
            <c:ext xmlns:c16="http://schemas.microsoft.com/office/drawing/2014/chart" uri="{C3380CC4-5D6E-409C-BE32-E72D297353CC}">
              <c16:uniqueId val="{00000001-BBDF-43B6-80D2-4CE38F1136AE}"/>
            </c:ext>
          </c:extLst>
        </c:ser>
        <c:ser>
          <c:idx val="1"/>
          <c:order val="2"/>
          <c:tx>
            <c:v>Setting 2</c:v>
          </c:tx>
          <c:spPr>
            <a:ln>
              <a:solidFill>
                <a:srgbClr val="0070C0"/>
              </a:solidFill>
            </a:ln>
          </c:spPr>
          <c:marker>
            <c:symbol val="circle"/>
            <c:size val="5"/>
            <c:spPr>
              <a:solidFill>
                <a:srgbClr val="0070C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Colony!$AG$4:$AG$27</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extLst>
            <c:ext xmlns:c16="http://schemas.microsoft.com/office/drawing/2014/chart" uri="{C3380CC4-5D6E-409C-BE32-E72D297353CC}">
              <c16:uniqueId val="{00000002-BBDF-43B6-80D2-4CE38F1136AE}"/>
            </c:ext>
          </c:extLst>
        </c:ser>
        <c:ser>
          <c:idx val="2"/>
          <c:order val="3"/>
          <c:tx>
            <c:v>Setting 3</c:v>
          </c:tx>
          <c:spPr>
            <a:ln>
              <a:solidFill>
                <a:srgbClr val="7030A0"/>
              </a:solidFill>
            </a:ln>
          </c:spPr>
          <c:marker>
            <c:symbol val="circle"/>
            <c:size val="5"/>
            <c:spPr>
              <a:solidFill>
                <a:srgbClr val="7030A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Colony!$AH$4:$AH$27</c:f>
              <c:numCache>
                <c:formatCode>General</c:formatCode>
                <c:ptCount val="24"/>
                <c:pt idx="10">
                  <c:v>10</c:v>
                </c:pt>
                <c:pt idx="11">
                  <c:v>15</c:v>
                </c:pt>
                <c:pt idx="12">
                  <c:v>35</c:v>
                </c:pt>
                <c:pt idx="13">
                  <c:v>80</c:v>
                </c:pt>
                <c:pt idx="14" formatCode="0">
                  <c:v>200</c:v>
                </c:pt>
                <c:pt idx="15" formatCode="0">
                  <c:v>325</c:v>
                </c:pt>
                <c:pt idx="16" formatCode="0">
                  <c:v>375</c:v>
                </c:pt>
                <c:pt idx="17" formatCode="0">
                  <c:v>335</c:v>
                </c:pt>
                <c:pt idx="18" formatCode="0">
                  <c:v>250</c:v>
                </c:pt>
                <c:pt idx="19" formatCode="0">
                  <c:v>100</c:v>
                </c:pt>
                <c:pt idx="20" formatCode="0">
                  <c:v>25</c:v>
                </c:pt>
              </c:numCache>
            </c:numRef>
          </c:val>
          <c:smooth val="0"/>
          <c:extLst>
            <c:ext xmlns:c16="http://schemas.microsoft.com/office/drawing/2014/chart" uri="{C3380CC4-5D6E-409C-BE32-E72D297353CC}">
              <c16:uniqueId val="{00000003-BBDF-43B6-80D2-4CE38F1136AE}"/>
            </c:ext>
          </c:extLst>
        </c:ser>
        <c:ser>
          <c:idx val="3"/>
          <c:order val="4"/>
          <c:tx>
            <c:v>Setting 4</c:v>
          </c:tx>
          <c:spPr>
            <a:ln>
              <a:solidFill>
                <a:srgbClr val="FF0000"/>
              </a:solidFill>
            </a:ln>
          </c:spPr>
          <c:marker>
            <c:symbol val="circle"/>
            <c:size val="5"/>
            <c:spPr>
              <a:solidFill>
                <a:srgbClr val="FF000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Colony!$AI$4:$AI$29</c:f>
              <c:numCache>
                <c:formatCode>General</c:formatCode>
                <c:ptCount val="26"/>
                <c:pt idx="10">
                  <c:v>20</c:v>
                </c:pt>
                <c:pt idx="11">
                  <c:v>30</c:v>
                </c:pt>
                <c:pt idx="12">
                  <c:v>45</c:v>
                </c:pt>
                <c:pt idx="13">
                  <c:v>75</c:v>
                </c:pt>
                <c:pt idx="14">
                  <c:v>250</c:v>
                </c:pt>
                <c:pt idx="15">
                  <c:v>500</c:v>
                </c:pt>
                <c:pt idx="16">
                  <c:v>600</c:v>
                </c:pt>
                <c:pt idx="17">
                  <c:v>500</c:v>
                </c:pt>
                <c:pt idx="18">
                  <c:v>300</c:v>
                </c:pt>
                <c:pt idx="19">
                  <c:v>150</c:v>
                </c:pt>
                <c:pt idx="20">
                  <c:v>30</c:v>
                </c:pt>
                <c:pt idx="25">
                  <c:v>2500</c:v>
                </c:pt>
              </c:numCache>
            </c:numRef>
          </c:val>
          <c:smooth val="0"/>
          <c:extLst>
            <c:ext xmlns:c16="http://schemas.microsoft.com/office/drawing/2014/chart" uri="{C3380CC4-5D6E-409C-BE32-E72D297353CC}">
              <c16:uniqueId val="{00000004-BBDF-43B6-80D2-4CE38F1136AE}"/>
            </c:ext>
          </c:extLst>
        </c:ser>
        <c:ser>
          <c:idx val="5"/>
          <c:order val="5"/>
          <c:tx>
            <c:v>Settling X</c:v>
          </c:tx>
          <c:marker>
            <c:symbol val="circle"/>
            <c:size val="5"/>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Colony!$AK$4:$AK$26</c:f>
              <c:numCache>
                <c:formatCode>General</c:formatCode>
                <c:ptCount val="23"/>
                <c:pt idx="11">
                  <c:v>10</c:v>
                </c:pt>
                <c:pt idx="12">
                  <c:v>10</c:v>
                </c:pt>
                <c:pt idx="13">
                  <c:v>20</c:v>
                </c:pt>
                <c:pt idx="14">
                  <c:v>50</c:v>
                </c:pt>
                <c:pt idx="15">
                  <c:v>100</c:v>
                </c:pt>
                <c:pt idx="16">
                  <c:v>250</c:v>
                </c:pt>
                <c:pt idx="17">
                  <c:v>750</c:v>
                </c:pt>
                <c:pt idx="18">
                  <c:v>300</c:v>
                </c:pt>
                <c:pt idx="19">
                  <c:v>200</c:v>
                </c:pt>
                <c:pt idx="20">
                  <c:v>50</c:v>
                </c:pt>
                <c:pt idx="21" formatCode="0">
                  <c:v>10</c:v>
                </c:pt>
              </c:numCache>
            </c:numRef>
          </c:val>
          <c:smooth val="0"/>
          <c:extLst>
            <c:ext xmlns:c16="http://schemas.microsoft.com/office/drawing/2014/chart" uri="{C3380CC4-5D6E-409C-BE32-E72D297353CC}">
              <c16:uniqueId val="{00000005-BBDF-43B6-80D2-4CE38F1136AE}"/>
            </c:ext>
          </c:extLst>
        </c:ser>
        <c:dLbls>
          <c:showLegendKey val="0"/>
          <c:showVal val="0"/>
          <c:showCatName val="0"/>
          <c:showSerName val="0"/>
          <c:showPercent val="0"/>
          <c:showBubbleSize val="0"/>
        </c:dLbls>
        <c:marker val="1"/>
        <c:smooth val="0"/>
        <c:axId val="321865984"/>
        <c:axId val="321884160"/>
      </c:lineChart>
      <c:dateAx>
        <c:axId val="321865984"/>
        <c:scaling>
          <c:orientation val="minMax"/>
        </c:scaling>
        <c:delete val="0"/>
        <c:axPos val="b"/>
        <c:numFmt formatCode="[$-409]d\-mmm;@" sourceLinked="1"/>
        <c:majorTickMark val="out"/>
        <c:minorTickMark val="none"/>
        <c:tickLblPos val="nextTo"/>
        <c:crossAx val="321884160"/>
        <c:crosses val="autoZero"/>
        <c:auto val="1"/>
        <c:lblOffset val="100"/>
        <c:baseTimeUnit val="days"/>
      </c:dateAx>
      <c:valAx>
        <c:axId val="321884160"/>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321865984"/>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Overall</a:t>
            </a:r>
            <a:r>
              <a:rPr lang="en-US" sz="1600" baseline="0"/>
              <a:t> f</a:t>
            </a:r>
            <a:r>
              <a:rPr lang="en-US" sz="1600"/>
              <a:t>old increase in mite pop,</a:t>
            </a:r>
          </a:p>
          <a:p>
            <a:pPr>
              <a:defRPr/>
            </a:pPr>
            <a:r>
              <a:rPr lang="en-US" sz="1600"/>
              <a:t>relative to months of broodrearing</a:t>
            </a:r>
            <a:r>
              <a:rPr lang="en-US" sz="1600" baseline="0"/>
              <a:t> and reductions by treatment</a:t>
            </a:r>
            <a:endParaRPr lang="en-US" sz="1600"/>
          </a:p>
        </c:rich>
      </c:tx>
      <c:overlay val="0"/>
    </c:title>
    <c:autoTitleDeleted val="0"/>
    <c:plotArea>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1.8221188003905089</c:v>
                </c:pt>
                <c:pt idx="2">
                  <c:v>3.3201169227365472</c:v>
                </c:pt>
                <c:pt idx="3">
                  <c:v>0.60496474644129405</c:v>
                </c:pt>
                <c:pt idx="4">
                  <c:v>1.1023176380641591</c:v>
                </c:pt>
                <c:pt idx="5">
                  <c:v>2.0085536923187646</c:v>
                </c:pt>
                <c:pt idx="6">
                  <c:v>0.36598234443677935</c:v>
                </c:pt>
                <c:pt idx="7">
                  <c:v>0.6668633104092504</c:v>
                </c:pt>
                <c:pt idx="8">
                  <c:v>0.12151041751873468</c:v>
                </c:pt>
                <c:pt idx="9">
                  <c:v>0.22140641620418669</c:v>
                </c:pt>
                <c:pt idx="10">
                  <c:v>0.40342879349273436</c:v>
                </c:pt>
                <c:pt idx="11">
                  <c:v>0.73509518924197148</c:v>
                </c:pt>
                <c:pt idx="12">
                  <c:v>1.3394307643944152</c:v>
                </c:pt>
              </c:numCache>
            </c:numRef>
          </c:val>
          <c:smooth val="0"/>
          <c:extLst>
            <c:ext xmlns:c16="http://schemas.microsoft.com/office/drawing/2014/chart" uri="{C3380CC4-5D6E-409C-BE32-E72D297353CC}">
              <c16:uniqueId val="{00000000-F863-4B42-90FA-A8D785CB6F4F}"/>
            </c:ext>
          </c:extLst>
        </c:ser>
        <c:ser>
          <c:idx val="1"/>
          <c:order val="1"/>
          <c:tx>
            <c:v>Treatment</c:v>
          </c:tx>
          <c:spPr>
            <a:ln>
              <a:noFill/>
            </a:ln>
          </c:spPr>
          <c:marker>
            <c:symbol val="triangle"/>
            <c:size val="12"/>
            <c:spPr>
              <a:solidFill>
                <a:schemeClr val="tx1"/>
              </a:solidFill>
            </c:spPr>
          </c:marker>
          <c:dLbls>
            <c:spPr>
              <a:noFill/>
              <a:ln>
                <a:noFill/>
              </a:ln>
              <a:effectLst/>
            </c:spPr>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pt idx="2">
                  <c:v>0.9</c:v>
                </c:pt>
                <c:pt idx="5">
                  <c:v>0.9</c:v>
                </c:pt>
                <c:pt idx="7">
                  <c:v>0.9</c:v>
                </c:pt>
              </c:numCache>
            </c:numRef>
          </c:val>
          <c:smooth val="0"/>
          <c:extLst>
            <c:ext xmlns:c16="http://schemas.microsoft.com/office/drawing/2014/chart" uri="{C3380CC4-5D6E-409C-BE32-E72D297353CC}">
              <c16:uniqueId val="{00000001-F863-4B42-90FA-A8D785CB6F4F}"/>
            </c:ext>
          </c:extLst>
        </c:ser>
        <c:ser>
          <c:idx val="2"/>
          <c:order val="2"/>
          <c:tx>
            <c:v>Start</c:v>
          </c:tx>
          <c:spPr>
            <a:ln w="19050">
              <a:solidFill>
                <a:srgbClr val="0070C0"/>
              </a:solidFill>
              <a:prstDash val="sysDash"/>
            </a:ln>
          </c:spPr>
          <c:marker>
            <c:symbol val="none"/>
          </c:marker>
          <c:dLbls>
            <c:dLbl>
              <c:idx val="6"/>
              <c:layout>
                <c:manualLayout>
                  <c:x val="0.10686808850704636"/>
                  <c:y val="3.2364612536990799E-3"/>
                </c:manualLayout>
              </c:layout>
              <c:tx>
                <c:rich>
                  <a:bodyPr/>
                  <a:lstStyle/>
                  <a:p>
                    <a:r>
                      <a:rPr lang="en-US" b="1">
                        <a:solidFill>
                          <a:srgbClr val="0070C0"/>
                        </a:solidFill>
                      </a:rPr>
                      <a:t>Baseline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63-4B42-90FA-A8D785CB6F4F}"/>
                </c:ext>
              </c:extLst>
            </c:dLbl>
            <c:spPr>
              <a:solidFill>
                <a:schemeClr val="bg1"/>
              </a:solidFill>
            </c:spPr>
            <c:showLegendKey val="0"/>
            <c:showVal val="0"/>
            <c:showCatName val="0"/>
            <c:showSerName val="0"/>
            <c:showPercent val="0"/>
            <c:showBubbleSize val="0"/>
            <c:extLst>
              <c:ext xmlns:c15="http://schemas.microsoft.com/office/drawing/2012/chart" uri="{CE6537A1-D6FC-4f65-9D91-7224C49458BB}">
                <c15:showLeaderLines val="0"/>
              </c:ext>
            </c:extLst>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3-F863-4B42-90FA-A8D785CB6F4F}"/>
            </c:ext>
          </c:extLst>
        </c:ser>
        <c:dLbls>
          <c:showLegendKey val="0"/>
          <c:showVal val="0"/>
          <c:showCatName val="0"/>
          <c:showSerName val="0"/>
          <c:showPercent val="0"/>
          <c:showBubbleSize val="0"/>
        </c:dLbls>
        <c:marker val="1"/>
        <c:smooth val="0"/>
        <c:axId val="323136896"/>
        <c:axId val="321521152"/>
      </c:lineChart>
      <c:catAx>
        <c:axId val="323136896"/>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321521152"/>
        <c:crosses val="autoZero"/>
        <c:auto val="1"/>
        <c:lblAlgn val="ctr"/>
        <c:lblOffset val="100"/>
        <c:noMultiLvlLbl val="0"/>
      </c:catAx>
      <c:valAx>
        <c:axId val="321521152"/>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General" sourceLinked="1"/>
        <c:majorTickMark val="out"/>
        <c:minorTickMark val="none"/>
        <c:tickLblPos val="nextTo"/>
        <c:crossAx val="323136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extLst>
            <c:ext xmlns:c16="http://schemas.microsoft.com/office/drawing/2014/chart" uri="{C3380CC4-5D6E-409C-BE32-E72D297353CC}">
              <c16:uniqueId val="{00000000-24EF-409A-BF8D-82A5A50AF542}"/>
            </c:ext>
          </c:extLst>
        </c:ser>
        <c:dLbls>
          <c:showLegendKey val="0"/>
          <c:showVal val="0"/>
          <c:showCatName val="0"/>
          <c:showSerName val="0"/>
          <c:showPercent val="0"/>
          <c:showBubbleSize val="0"/>
        </c:dLbls>
        <c:marker val="1"/>
        <c:smooth val="0"/>
        <c:axId val="321529728"/>
        <c:axId val="321565056"/>
      </c:lineChart>
      <c:catAx>
        <c:axId val="321529728"/>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321565056"/>
        <c:crosses val="autoZero"/>
        <c:auto val="1"/>
        <c:lblAlgn val="ctr"/>
        <c:lblOffset val="100"/>
        <c:noMultiLvlLbl val="0"/>
      </c:catAx>
      <c:valAx>
        <c:axId val="321565056"/>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321529728"/>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6"/>
          <c:y val="0.2004360820158381"/>
          <c:w val="0.60672016572641063"/>
          <c:h val="0.68850843966162556"/>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0.28885402805548943</c:v>
                </c:pt>
                <c:pt idx="2">
                  <c:v>0.19143255206187737</c:v>
                </c:pt>
                <c:pt idx="3">
                  <c:v>0.60615479855773335</c:v>
                </c:pt>
                <c:pt idx="4">
                  <c:v>0.58073012283671166</c:v>
                </c:pt>
                <c:pt idx="5">
                  <c:v>0.55478822760459146</c:v>
                </c:pt>
                <c:pt idx="6">
                  <c:v>-0.9180103998482545</c:v>
                </c:pt>
                <c:pt idx="7">
                  <c:v>0.66459542105216429</c:v>
                </c:pt>
                <c:pt idx="8">
                  <c:v>0.47021607982910485</c:v>
                </c:pt>
                <c:pt idx="9">
                  <c:v>0.58661069607953387</c:v>
                </c:pt>
                <c:pt idx="10">
                  <c:v>0.57185393634083348</c:v>
                </c:pt>
                <c:pt idx="11">
                  <c:v>0.60997142262625714</c:v>
                </c:pt>
                <c:pt idx="12">
                  <c:v>0.48612370319682108</c:v>
                </c:pt>
                <c:pt idx="13">
                  <c:v>-0.31385927317289031</c:v>
                </c:pt>
                <c:pt idx="14">
                  <c:v>0.36659448484618773</c:v>
                </c:pt>
                <c:pt idx="15">
                  <c:v>0.37457811705393795</c:v>
                </c:pt>
                <c:pt idx="16">
                  <c:v>-0.86078873719745963</c:v>
                </c:pt>
                <c:pt idx="17">
                  <c:v>1.7070427303214659</c:v>
                </c:pt>
                <c:pt idx="18">
                  <c:v>0.75335911418603407</c:v>
                </c:pt>
                <c:pt idx="19">
                  <c:v>0.41500333399674871</c:v>
                </c:pt>
                <c:pt idx="20">
                  <c:v>0.30195095008958006</c:v>
                </c:pt>
                <c:pt idx="21">
                  <c:v>0.22517477375626149</c:v>
                </c:pt>
                <c:pt idx="22">
                  <c:v>-0.89605236589935922</c:v>
                </c:pt>
                <c:pt idx="23">
                  <c:v>0.27937492632822614</c:v>
                </c:pt>
                <c:pt idx="24">
                  <c:v>-0.14557934267495154</c:v>
                </c:pt>
              </c:numCache>
            </c:numRef>
          </c:val>
          <c:smooth val="0"/>
          <c:extLst>
            <c:ext xmlns:c16="http://schemas.microsoft.com/office/drawing/2014/chart" uri="{C3380CC4-5D6E-409C-BE32-E72D297353CC}">
              <c16:uniqueId val="{00000000-8D0B-4E5B-9376-1390A27B6361}"/>
            </c:ext>
          </c:extLst>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0.25</c:v>
                </c:pt>
                <c:pt idx="3">
                  <c:v>0.19999999999999996</c:v>
                </c:pt>
                <c:pt idx="4">
                  <c:v>0.33333333333333326</c:v>
                </c:pt>
                <c:pt idx="5">
                  <c:v>0.25</c:v>
                </c:pt>
                <c:pt idx="6">
                  <c:v>-0.75</c:v>
                </c:pt>
                <c:pt idx="7">
                  <c:v>0</c:v>
                </c:pt>
                <c:pt idx="8">
                  <c:v>0.39999999999999991</c:v>
                </c:pt>
                <c:pt idx="9">
                  <c:v>0.4285714285714286</c:v>
                </c:pt>
                <c:pt idx="10">
                  <c:v>0.39999999999999991</c:v>
                </c:pt>
                <c:pt idx="11">
                  <c:v>0.28571428571428581</c:v>
                </c:pt>
                <c:pt idx="12">
                  <c:v>0.16666666666666674</c:v>
                </c:pt>
                <c:pt idx="13">
                  <c:v>4.7619047619047672E-2</c:v>
                </c:pt>
                <c:pt idx="14">
                  <c:v>-9.0909090909090939E-2</c:v>
                </c:pt>
                <c:pt idx="15">
                  <c:v>-0.15000000000000002</c:v>
                </c:pt>
                <c:pt idx="16">
                  <c:v>-0.17647058823529416</c:v>
                </c:pt>
                <c:pt idx="17">
                  <c:v>-0.1428571428571429</c:v>
                </c:pt>
                <c:pt idx="18">
                  <c:v>-0.16666666666666663</c:v>
                </c:pt>
                <c:pt idx="19">
                  <c:v>-9.9999999999999978E-2</c:v>
                </c:pt>
                <c:pt idx="20">
                  <c:v>-0.11111111111111116</c:v>
                </c:pt>
                <c:pt idx="21">
                  <c:v>-0.125</c:v>
                </c:pt>
                <c:pt idx="22">
                  <c:v>0.14285714285714279</c:v>
                </c:pt>
                <c:pt idx="23">
                  <c:v>0</c:v>
                </c:pt>
                <c:pt idx="24">
                  <c:v>0</c:v>
                </c:pt>
              </c:numCache>
            </c:numRef>
          </c:val>
          <c:smooth val="0"/>
          <c:extLst>
            <c:ext xmlns:c16="http://schemas.microsoft.com/office/drawing/2014/chart" uri="{C3380CC4-5D6E-409C-BE32-E72D297353CC}">
              <c16:uniqueId val="{00000001-8D0B-4E5B-9376-1390A27B6361}"/>
            </c:ext>
          </c:extLst>
        </c:ser>
        <c:dLbls>
          <c:showLegendKey val="0"/>
          <c:showVal val="0"/>
          <c:showCatName val="0"/>
          <c:showSerName val="0"/>
          <c:showPercent val="0"/>
          <c:showBubbleSize val="0"/>
        </c:dLbls>
        <c:marker val="1"/>
        <c:smooth val="0"/>
        <c:axId val="321340544"/>
        <c:axId val="321342464"/>
      </c:lineChart>
      <c:dateAx>
        <c:axId val="321340544"/>
        <c:scaling>
          <c:orientation val="minMax"/>
        </c:scaling>
        <c:delete val="0"/>
        <c:axPos val="b"/>
        <c:numFmt formatCode="[$-409]d\-mmm;@" sourceLinked="1"/>
        <c:majorTickMark val="out"/>
        <c:minorTickMark val="none"/>
        <c:tickLblPos val="low"/>
        <c:crossAx val="321342464"/>
        <c:crosses val="autoZero"/>
        <c:auto val="1"/>
        <c:lblOffset val="100"/>
        <c:baseTimeUnit val="days"/>
      </c:dateAx>
      <c:valAx>
        <c:axId val="321342464"/>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321340544"/>
        <c:crosses val="autoZero"/>
        <c:crossBetween val="midCat"/>
      </c:valAx>
    </c:plotArea>
    <c:legend>
      <c:legendPos val="r"/>
      <c:layout>
        <c:manualLayout>
          <c:xMode val="edge"/>
          <c:yMode val="edge"/>
          <c:x val="0.36785820612058434"/>
          <c:y val="0.19793238139728603"/>
          <c:w val="0.37246127154575037"/>
          <c:h val="0.11903755776060515"/>
        </c:manualLayout>
      </c:layout>
      <c:overlay val="0"/>
      <c:spPr>
        <a:noFill/>
      </c:sp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4"/>
          <c:y val="0.26682019427003756"/>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version'!$U$4:$U$28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version'!$V$4:$V$28</c:f>
              <c:numCache>
                <c:formatCode>#,##0</c:formatCode>
                <c:ptCount val="25"/>
                <c:pt idx="0">
                  <c:v>100</c:v>
                </c:pt>
                <c:pt idx="1">
                  <c:v>128.88540280554895</c:v>
                </c:pt>
                <c:pt idx="2">
                  <c:v>153.55826438813824</c:v>
                </c:pt>
                <c:pt idx="3">
                  <c:v>246.63834320520533</c:v>
                </c:pt>
                <c:pt idx="4">
                  <c:v>389.86865855100729</c:v>
                </c:pt>
                <c:pt idx="5">
                  <c:v>606.16320062710031</c:v>
                </c:pt>
                <c:pt idx="6">
                  <c:v>49.699078446118278</c:v>
                </c:pt>
                <c:pt idx="7">
                  <c:v>82.728858411920797</c:v>
                </c:pt>
                <c:pt idx="8">
                  <c:v>121.62929790311125</c:v>
                </c:pt>
                <c:pt idx="9">
                  <c:v>192.97834500972033</c:v>
                </c:pt>
                <c:pt idx="10">
                  <c:v>303.33377123206833</c:v>
                </c:pt>
                <c:pt idx="11">
                  <c:v>488.35870320108069</c:v>
                </c:pt>
                <c:pt idx="12">
                  <c:v>725.76144448958723</c:v>
                </c:pt>
                <c:pt idx="13">
                  <c:v>497.97448502517841</c:v>
                </c:pt>
                <c:pt idx="14">
                  <c:v>680.5291848295293</c:v>
                </c:pt>
                <c:pt idx="15">
                  <c:v>935.44052548322566</c:v>
                </c:pt>
                <c:pt idx="16">
                  <c:v>130.22385682919185</c:v>
                </c:pt>
                <c:pt idx="17">
                  <c:v>352.52154494388719</c:v>
                </c:pt>
                <c:pt idx="18">
                  <c:v>618.09686377430626</c:v>
                </c:pt>
                <c:pt idx="19">
                  <c:v>874.60912297357754</c:v>
                </c:pt>
                <c:pt idx="20">
                  <c:v>1138.6981786124636</c:v>
                </c:pt>
                <c:pt idx="21">
                  <c:v>1395.1042833581921</c:v>
                </c:pt>
                <c:pt idx="22">
                  <c:v>145.01778957875399</c:v>
                </c:pt>
                <c:pt idx="23">
                  <c:v>185.53212385860058</c:v>
                </c:pt>
                <c:pt idx="24">
                  <c:v>158.52247922217782</c:v>
                </c:pt>
              </c:numCache>
            </c:numRef>
          </c:val>
          <c:smooth val="0"/>
          <c:extLst>
            <c:ext xmlns:c16="http://schemas.microsoft.com/office/drawing/2014/chart" uri="{C3380CC4-5D6E-409C-BE32-E72D297353CC}">
              <c16:uniqueId val="{00000000-4A33-42F3-B288-90CEEA3F5069}"/>
            </c:ext>
          </c:extLst>
        </c:ser>
        <c:dLbls>
          <c:showLegendKey val="0"/>
          <c:showVal val="0"/>
          <c:showCatName val="0"/>
          <c:showSerName val="0"/>
          <c:showPercent val="0"/>
          <c:showBubbleSize val="0"/>
        </c:dLbls>
        <c:marker val="1"/>
        <c:smooth val="0"/>
        <c:axId val="321845504"/>
        <c:axId val="322978176"/>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version'!$W$4:$W$28</c:f>
              <c:numCache>
                <c:formatCode>0.000</c:formatCode>
                <c:ptCount val="25"/>
                <c:pt idx="0">
                  <c:v>1.6685159882432243E-2</c:v>
                </c:pt>
                <c:pt idx="1">
                  <c:v>1.151713370096814E-2</c:v>
                </c:pt>
                <c:pt idx="2">
                  <c:v>3.1156799902980446E-2</c:v>
                </c:pt>
                <c:pt idx="3">
                  <c:v>3.0107628056768004E-2</c:v>
                </c:pt>
                <c:pt idx="4">
                  <c:v>2.9019573588238839E-2</c:v>
                </c:pt>
                <c:pt idx="5">
                  <c:v>-0.16446002414326999</c:v>
                </c:pt>
                <c:pt idx="6">
                  <c:v>3.3506768452366428E-2</c:v>
                </c:pt>
                <c:pt idx="7">
                  <c:v>2.5341986831950308E-2</c:v>
                </c:pt>
                <c:pt idx="8">
                  <c:v>3.0351787619039689E-2</c:v>
                </c:pt>
                <c:pt idx="9">
                  <c:v>2.9737365953513686E-2</c:v>
                </c:pt>
                <c:pt idx="10">
                  <c:v>3.1312861079491099E-2</c:v>
                </c:pt>
                <c:pt idx="11">
                  <c:v>2.6049612400380687E-2</c:v>
                </c:pt>
                <c:pt idx="12">
                  <c:v>-2.4767508897365235E-2</c:v>
                </c:pt>
                <c:pt idx="13">
                  <c:v>2.0536232395471959E-2</c:v>
                </c:pt>
                <c:pt idx="14">
                  <c:v>2.0919245594147526E-2</c:v>
                </c:pt>
                <c:pt idx="15">
                  <c:v>-0.12965014510140105</c:v>
                </c:pt>
                <c:pt idx="16">
                  <c:v>6.5480994781031088E-2</c:v>
                </c:pt>
                <c:pt idx="17">
                  <c:v>3.6922746863460289E-2</c:v>
                </c:pt>
                <c:pt idx="18">
                  <c:v>2.2825110396090278E-2</c:v>
                </c:pt>
                <c:pt idx="19">
                  <c:v>1.7349953117883871E-2</c:v>
                </c:pt>
                <c:pt idx="20">
                  <c:v>1.3353436028977622E-2</c:v>
                </c:pt>
                <c:pt idx="21">
                  <c:v>-0.14885707561063385</c:v>
                </c:pt>
                <c:pt idx="22">
                  <c:v>1.6199777743510661E-2</c:v>
                </c:pt>
                <c:pt idx="23">
                  <c:v>-1.0345093708777941E-2</c:v>
                </c:pt>
                <c:pt idx="24">
                  <c:v>-5.0148183286369526E-3</c:v>
                </c:pt>
              </c:numCache>
            </c:numRef>
          </c:val>
          <c:smooth val="0"/>
          <c:extLst>
            <c:ext xmlns:c16="http://schemas.microsoft.com/office/drawing/2014/chart" uri="{C3380CC4-5D6E-409C-BE32-E72D297353CC}">
              <c16:uniqueId val="{00000001-4A33-42F3-B288-90CEEA3F5069}"/>
            </c:ext>
          </c:extLst>
        </c:ser>
        <c:dLbls>
          <c:showLegendKey val="0"/>
          <c:showVal val="0"/>
          <c:showCatName val="0"/>
          <c:showSerName val="0"/>
          <c:showPercent val="0"/>
          <c:showBubbleSize val="0"/>
        </c:dLbls>
        <c:marker val="1"/>
        <c:smooth val="0"/>
        <c:axId val="321405312"/>
        <c:axId val="322980096"/>
      </c:lineChart>
      <c:dateAx>
        <c:axId val="321845504"/>
        <c:scaling>
          <c:orientation val="minMax"/>
        </c:scaling>
        <c:delete val="0"/>
        <c:axPos val="b"/>
        <c:numFmt formatCode="[$-409]d\-mmm;@" sourceLinked="1"/>
        <c:majorTickMark val="out"/>
        <c:minorTickMark val="none"/>
        <c:tickLblPos val="nextTo"/>
        <c:txPr>
          <a:bodyPr rot="0" vert="horz"/>
          <a:lstStyle/>
          <a:p>
            <a:pPr>
              <a:defRPr/>
            </a:pPr>
            <a:endParaRPr lang="en-US"/>
          </a:p>
        </c:txPr>
        <c:crossAx val="322978176"/>
        <c:crosses val="autoZero"/>
        <c:auto val="1"/>
        <c:lblOffset val="100"/>
        <c:baseTimeUnit val="days"/>
      </c:dateAx>
      <c:valAx>
        <c:axId val="322978176"/>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321845504"/>
        <c:crosses val="autoZero"/>
        <c:crossBetween val="midCat"/>
      </c:valAx>
      <c:valAx>
        <c:axId val="322980096"/>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321405312"/>
        <c:crosses val="max"/>
        <c:crossBetween val="between"/>
      </c:valAx>
      <c:catAx>
        <c:axId val="321405312"/>
        <c:scaling>
          <c:orientation val="minMax"/>
        </c:scaling>
        <c:delete val="1"/>
        <c:axPos val="b"/>
        <c:numFmt formatCode="[$-409]d\-mmm;@" sourceLinked="1"/>
        <c:majorTickMark val="out"/>
        <c:minorTickMark val="none"/>
        <c:tickLblPos val="nextTo"/>
        <c:crossAx val="322980096"/>
        <c:crosses val="autoZero"/>
        <c:auto val="1"/>
        <c:lblAlgn val="ctr"/>
        <c:lblOffset val="100"/>
        <c:noMultiLvlLbl val="1"/>
      </c:catAx>
    </c:plotArea>
    <c:legend>
      <c:legendPos val="r"/>
      <c:layout>
        <c:manualLayout>
          <c:xMode val="edge"/>
          <c:yMode val="edge"/>
          <c:x val="0.29176259261948012"/>
          <c:y val="0.49600406667054853"/>
          <c:w val="0.23521057537213988"/>
          <c:h val="0.10169023208671255"/>
        </c:manualLayout>
      </c:layout>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8"/>
          <c:y val="4.3667727374786115E-2"/>
          <c:w val="0.77464173422335081"/>
          <c:h val="0.85664022664122796"/>
        </c:manualLayout>
      </c:layout>
      <c:areaChart>
        <c:grouping val="standard"/>
        <c:varyColors val="0"/>
        <c:ser>
          <c:idx val="1"/>
          <c:order val="0"/>
          <c:tx>
            <c:v>Adult bee pop</c:v>
          </c:tx>
          <c:spPr>
            <a:solidFill>
              <a:srgbClr val="FFE593"/>
            </a:solidFill>
            <a:ln>
              <a:solidFill>
                <a:srgbClr val="FFC000"/>
              </a:solidFill>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version'!$AL$4:$AL$28</c:f>
              <c:numCache>
                <c:formatCode>General</c:formatCode>
                <c:ptCount val="25"/>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pt idx="24">
                  <c:v>16000</c:v>
                </c:pt>
              </c:numCache>
            </c:numRef>
          </c:val>
          <c:extLst>
            <c:ext xmlns:c16="http://schemas.microsoft.com/office/drawing/2014/chart" uri="{C3380CC4-5D6E-409C-BE32-E72D297353CC}">
              <c16:uniqueId val="{00000000-ABC4-489D-87A9-AC506B85C503}"/>
            </c:ext>
          </c:extLst>
        </c:ser>
        <c:ser>
          <c:idx val="2"/>
          <c:order val="2"/>
          <c:tx>
            <c:v>Total pupae</c:v>
          </c:tx>
          <c:spPr>
            <a:solidFill>
              <a:srgbClr val="FFC000"/>
            </a:solidFill>
            <a:ln w="12700">
              <a:solidFill>
                <a:schemeClr val="accent6"/>
              </a:solidFill>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version'!$AP$4:$AP$28</c:f>
              <c:numCache>
                <c:formatCode>General</c:formatCode>
                <c:ptCount val="25"/>
                <c:pt idx="0">
                  <c:v>1350</c:v>
                </c:pt>
                <c:pt idx="1">
                  <c:v>8100</c:v>
                </c:pt>
                <c:pt idx="2">
                  <c:v>14850</c:v>
                </c:pt>
                <c:pt idx="3">
                  <c:v>18900</c:v>
                </c:pt>
                <c:pt idx="4">
                  <c:v>21600</c:v>
                </c:pt>
                <c:pt idx="5">
                  <c:v>27000</c:v>
                </c:pt>
                <c:pt idx="6">
                  <c:v>8100</c:v>
                </c:pt>
                <c:pt idx="7">
                  <c:v>8100</c:v>
                </c:pt>
                <c:pt idx="8">
                  <c:v>10800</c:v>
                </c:pt>
                <c:pt idx="9">
                  <c:v>13500</c:v>
                </c:pt>
                <c:pt idx="10">
                  <c:v>18900</c:v>
                </c:pt>
                <c:pt idx="11">
                  <c:v>18900</c:v>
                </c:pt>
                <c:pt idx="12">
                  <c:v>16200</c:v>
                </c:pt>
                <c:pt idx="13">
                  <c:v>13500</c:v>
                </c:pt>
                <c:pt idx="14">
                  <c:v>9450</c:v>
                </c:pt>
                <c:pt idx="15">
                  <c:v>9450</c:v>
                </c:pt>
                <c:pt idx="16">
                  <c:v>5400</c:v>
                </c:pt>
                <c:pt idx="17">
                  <c:v>8100</c:v>
                </c:pt>
                <c:pt idx="18">
                  <c:v>8100</c:v>
                </c:pt>
                <c:pt idx="19">
                  <c:v>6750</c:v>
                </c:pt>
                <c:pt idx="20">
                  <c:v>5400</c:v>
                </c:pt>
                <c:pt idx="21">
                  <c:v>1350</c:v>
                </c:pt>
                <c:pt idx="22">
                  <c:v>1350</c:v>
                </c:pt>
                <c:pt idx="23">
                  <c:v>0.6</c:v>
                </c:pt>
                <c:pt idx="24">
                  <c:v>0.6</c:v>
                </c:pt>
              </c:numCache>
            </c:numRef>
          </c:val>
          <c:extLst>
            <c:ext xmlns:c16="http://schemas.microsoft.com/office/drawing/2014/chart" uri="{C3380CC4-5D6E-409C-BE32-E72D297353CC}">
              <c16:uniqueId val="{00000001-ABC4-489D-87A9-AC506B85C503}"/>
            </c:ext>
          </c:extLst>
        </c:ser>
        <c:ser>
          <c:idx val="6"/>
          <c:order val="3"/>
          <c:tx>
            <c:v>Pupae parasitized</c:v>
          </c:tx>
          <c:spPr>
            <a:solidFill>
              <a:srgbClr val="FF0000">
                <a:alpha val="50000"/>
              </a:srgbClr>
            </a:solidFill>
            <a:ln w="12700">
              <a:solidFill>
                <a:srgbClr val="FF0000"/>
              </a:solidFill>
              <a:prstDash val="solid"/>
            </a:ln>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version'!$AQ$4:$AQ$28</c:f>
              <c:numCache>
                <c:formatCode>0</c:formatCode>
                <c:ptCount val="25"/>
                <c:pt idx="0">
                  <c:v>44.028306791646855</c:v>
                </c:pt>
                <c:pt idx="1">
                  <c:v>86.186297391665661</c:v>
                </c:pt>
                <c:pt idx="2">
                  <c:v>109.24044699801777</c:v>
                </c:pt>
                <c:pt idx="3">
                  <c:v>178.56931661924341</c:v>
                </c:pt>
                <c:pt idx="4">
                  <c:v>261.16286812419042</c:v>
                </c:pt>
                <c:pt idx="5">
                  <c:v>345.33414426391516</c:v>
                </c:pt>
                <c:pt idx="6">
                  <c:v>27.905924456965238</c:v>
                </c:pt>
                <c:pt idx="7">
                  <c:v>62.160319960728657</c:v>
                </c:pt>
                <c:pt idx="8">
                  <c:v>85.112077652687518</c:v>
                </c:pt>
                <c:pt idx="9">
                  <c:v>121.8956915497017</c:v>
                </c:pt>
                <c:pt idx="10">
                  <c:v>191.49575764479502</c:v>
                </c:pt>
                <c:pt idx="11">
                  <c:v>285.655321430838</c:v>
                </c:pt>
                <c:pt idx="12">
                  <c:v>424.21700927906585</c:v>
                </c:pt>
                <c:pt idx="13">
                  <c:v>283.02385468176686</c:v>
                </c:pt>
                <c:pt idx="14">
                  <c:v>364.94600922629928</c:v>
                </c:pt>
                <c:pt idx="15">
                  <c:v>516.85873164864233</c:v>
                </c:pt>
                <c:pt idx="16">
                  <c:v>68.042909894536635</c:v>
                </c:pt>
                <c:pt idx="17">
                  <c:v>210.05210614830034</c:v>
                </c:pt>
                <c:pt idx="18">
                  <c:v>381.80156824682166</c:v>
                </c:pt>
                <c:pt idx="19">
                  <c:v>521.17305331030809</c:v>
                </c:pt>
                <c:pt idx="20">
                  <c:v>645.49371402779025</c:v>
                </c:pt>
                <c:pt idx="21">
                  <c:v>509.94517224683057</c:v>
                </c:pt>
                <c:pt idx="22">
                  <c:v>63.377328158534226</c:v>
                </c:pt>
                <c:pt idx="23">
                  <c:v>0</c:v>
                </c:pt>
                <c:pt idx="24">
                  <c:v>0</c:v>
                </c:pt>
              </c:numCache>
            </c:numRef>
          </c:val>
          <c:extLst>
            <c:ext xmlns:c16="http://schemas.microsoft.com/office/drawing/2014/chart" uri="{C3380CC4-5D6E-409C-BE32-E72D297353CC}">
              <c16:uniqueId val="{00000002-ABC4-489D-87A9-AC506B85C503}"/>
            </c:ext>
          </c:extLst>
        </c:ser>
        <c:dLbls>
          <c:showLegendKey val="0"/>
          <c:showVal val="0"/>
          <c:showCatName val="0"/>
          <c:showSerName val="0"/>
          <c:showPercent val="0"/>
          <c:showBubbleSize val="0"/>
        </c:dLbls>
        <c:axId val="321974272"/>
        <c:axId val="321975808"/>
      </c:areaChart>
      <c:areaChart>
        <c:grouping val="standard"/>
        <c:varyColors val="0"/>
        <c:ser>
          <c:idx val="9"/>
          <c:order val="9"/>
          <c:tx>
            <c:v>crash</c:v>
          </c:tx>
          <c:spPr>
            <a:solidFill>
              <a:srgbClr val="FF0000"/>
            </a:solidFill>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ABC4-489D-87A9-AC506B85C503}"/>
            </c:ext>
          </c:extLst>
        </c:ser>
        <c:ser>
          <c:idx val="10"/>
          <c:order val="10"/>
          <c:tx>
            <c:v>Winter crash</c:v>
          </c:tx>
          <c:spPr>
            <a:solidFill>
              <a:srgbClr val="FF0000"/>
            </a:solidFill>
          </c:spP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ABC4-489D-87A9-AC506B85C503}"/>
            </c:ext>
          </c:extLst>
        </c:ser>
        <c:dLbls>
          <c:showLegendKey val="0"/>
          <c:showVal val="0"/>
          <c:showCatName val="0"/>
          <c:showSerName val="0"/>
          <c:showPercent val="0"/>
          <c:showBubbleSize val="0"/>
        </c:dLbls>
        <c:axId val="321988096"/>
        <c:axId val="32197772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
                  <c:y val="2.2789636995775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C4-489D-87A9-AC506B85C503}"/>
                </c:ext>
              </c:extLst>
            </c:dLbl>
            <c:dLbl>
              <c:idx val="1"/>
              <c:delete val="1"/>
              <c:extLst>
                <c:ext xmlns:c15="http://schemas.microsoft.com/office/drawing/2012/chart" uri="{CE6537A1-D6FC-4f65-9D91-7224C49458BB}"/>
                <c:ext xmlns:c16="http://schemas.microsoft.com/office/drawing/2014/chart" uri="{C3380CC4-5D6E-409C-BE32-E72D297353CC}">
                  <c16:uniqueId val="{00000006-ABC4-489D-87A9-AC506B85C503}"/>
                </c:ext>
              </c:extLst>
            </c:dLbl>
            <c:dLbl>
              <c:idx val="2"/>
              <c:delete val="1"/>
              <c:extLst>
                <c:ext xmlns:c15="http://schemas.microsoft.com/office/drawing/2012/chart" uri="{CE6537A1-D6FC-4f65-9D91-7224C49458BB}"/>
                <c:ext xmlns:c16="http://schemas.microsoft.com/office/drawing/2014/chart" uri="{C3380CC4-5D6E-409C-BE32-E72D297353CC}">
                  <c16:uniqueId val="{00000007-ABC4-489D-87A9-AC506B85C503}"/>
                </c:ext>
              </c:extLst>
            </c:dLbl>
            <c:dLbl>
              <c:idx val="3"/>
              <c:delete val="1"/>
              <c:extLst>
                <c:ext xmlns:c15="http://schemas.microsoft.com/office/drawing/2012/chart" uri="{CE6537A1-D6FC-4f65-9D91-7224C49458BB}"/>
                <c:ext xmlns:c16="http://schemas.microsoft.com/office/drawing/2014/chart" uri="{C3380CC4-5D6E-409C-BE32-E72D297353CC}">
                  <c16:uniqueId val="{00000008-ABC4-489D-87A9-AC506B85C503}"/>
                </c:ext>
              </c:extLst>
            </c:dLbl>
            <c:dLbl>
              <c:idx val="4"/>
              <c:delete val="1"/>
              <c:extLst>
                <c:ext xmlns:c15="http://schemas.microsoft.com/office/drawing/2012/chart" uri="{CE6537A1-D6FC-4f65-9D91-7224C49458BB}"/>
                <c:ext xmlns:c16="http://schemas.microsoft.com/office/drawing/2014/chart" uri="{C3380CC4-5D6E-409C-BE32-E72D297353CC}">
                  <c16:uniqueId val="{00000009-ABC4-489D-87A9-AC506B85C503}"/>
                </c:ext>
              </c:extLst>
            </c:dLbl>
            <c:dLbl>
              <c:idx val="5"/>
              <c:delete val="1"/>
              <c:extLst>
                <c:ext xmlns:c15="http://schemas.microsoft.com/office/drawing/2012/chart" uri="{CE6537A1-D6FC-4f65-9D91-7224C49458BB}"/>
                <c:ext xmlns:c16="http://schemas.microsoft.com/office/drawing/2014/chart" uri="{C3380CC4-5D6E-409C-BE32-E72D297353CC}">
                  <c16:uniqueId val="{0000000A-ABC4-489D-87A9-AC506B85C503}"/>
                </c:ext>
              </c:extLst>
            </c:dLbl>
            <c:dLbl>
              <c:idx val="6"/>
              <c:delete val="1"/>
              <c:extLst>
                <c:ext xmlns:c15="http://schemas.microsoft.com/office/drawing/2012/chart" uri="{CE6537A1-D6FC-4f65-9D91-7224C49458BB}"/>
                <c:ext xmlns:c16="http://schemas.microsoft.com/office/drawing/2014/chart" uri="{C3380CC4-5D6E-409C-BE32-E72D297353CC}">
                  <c16:uniqueId val="{0000000B-ABC4-489D-87A9-AC506B85C503}"/>
                </c:ext>
              </c:extLst>
            </c:dLbl>
            <c:dLbl>
              <c:idx val="7"/>
              <c:delete val="1"/>
              <c:extLst>
                <c:ext xmlns:c15="http://schemas.microsoft.com/office/drawing/2012/chart" uri="{CE6537A1-D6FC-4f65-9D91-7224C49458BB}"/>
                <c:ext xmlns:c16="http://schemas.microsoft.com/office/drawing/2014/chart" uri="{C3380CC4-5D6E-409C-BE32-E72D297353CC}">
                  <c16:uniqueId val="{0000000C-ABC4-489D-87A9-AC506B85C503}"/>
                </c:ext>
              </c:extLst>
            </c:dLbl>
            <c:dLbl>
              <c:idx val="8"/>
              <c:delete val="1"/>
              <c:extLst>
                <c:ext xmlns:c15="http://schemas.microsoft.com/office/drawing/2012/chart" uri="{CE6537A1-D6FC-4f65-9D91-7224C49458BB}"/>
                <c:ext xmlns:c16="http://schemas.microsoft.com/office/drawing/2014/chart" uri="{C3380CC4-5D6E-409C-BE32-E72D297353CC}">
                  <c16:uniqueId val="{0000000D-ABC4-489D-87A9-AC506B85C503}"/>
                </c:ext>
              </c:extLst>
            </c:dLbl>
            <c:dLbl>
              <c:idx val="9"/>
              <c:delete val="1"/>
              <c:extLst>
                <c:ext xmlns:c15="http://schemas.microsoft.com/office/drawing/2012/chart" uri="{CE6537A1-D6FC-4f65-9D91-7224C49458BB}"/>
                <c:ext xmlns:c16="http://schemas.microsoft.com/office/drawing/2014/chart" uri="{C3380CC4-5D6E-409C-BE32-E72D297353CC}">
                  <c16:uniqueId val="{0000000E-ABC4-489D-87A9-AC506B85C503}"/>
                </c:ext>
              </c:extLst>
            </c:dLbl>
            <c:dLbl>
              <c:idx val="10"/>
              <c:delete val="1"/>
              <c:extLst>
                <c:ext xmlns:c15="http://schemas.microsoft.com/office/drawing/2012/chart" uri="{CE6537A1-D6FC-4f65-9D91-7224C49458BB}"/>
                <c:ext xmlns:c16="http://schemas.microsoft.com/office/drawing/2014/chart" uri="{C3380CC4-5D6E-409C-BE32-E72D297353CC}">
                  <c16:uniqueId val="{0000000F-ABC4-489D-87A9-AC506B85C503}"/>
                </c:ext>
              </c:extLst>
            </c:dLbl>
            <c:dLbl>
              <c:idx val="11"/>
              <c:delete val="1"/>
              <c:extLst>
                <c:ext xmlns:c15="http://schemas.microsoft.com/office/drawing/2012/chart" uri="{CE6537A1-D6FC-4f65-9D91-7224C49458BB}"/>
                <c:ext xmlns:c16="http://schemas.microsoft.com/office/drawing/2014/chart" uri="{C3380CC4-5D6E-409C-BE32-E72D297353CC}">
                  <c16:uniqueId val="{00000010-ABC4-489D-87A9-AC506B85C503}"/>
                </c:ext>
              </c:extLst>
            </c:dLbl>
            <c:dLbl>
              <c:idx val="12"/>
              <c:delete val="1"/>
              <c:extLst>
                <c:ext xmlns:c15="http://schemas.microsoft.com/office/drawing/2012/chart" uri="{CE6537A1-D6FC-4f65-9D91-7224C49458BB}"/>
                <c:ext xmlns:c16="http://schemas.microsoft.com/office/drawing/2014/chart" uri="{C3380CC4-5D6E-409C-BE32-E72D297353CC}">
                  <c16:uniqueId val="{00000011-ABC4-489D-87A9-AC506B85C503}"/>
                </c:ext>
              </c:extLst>
            </c:dLbl>
            <c:dLbl>
              <c:idx val="13"/>
              <c:delete val="1"/>
              <c:extLst>
                <c:ext xmlns:c15="http://schemas.microsoft.com/office/drawing/2012/chart" uri="{CE6537A1-D6FC-4f65-9D91-7224C49458BB}"/>
                <c:ext xmlns:c16="http://schemas.microsoft.com/office/drawing/2014/chart" uri="{C3380CC4-5D6E-409C-BE32-E72D297353CC}">
                  <c16:uniqueId val="{00000012-ABC4-489D-87A9-AC506B85C503}"/>
                </c:ext>
              </c:extLst>
            </c:dLbl>
            <c:dLbl>
              <c:idx val="14"/>
              <c:delete val="1"/>
              <c:extLst>
                <c:ext xmlns:c15="http://schemas.microsoft.com/office/drawing/2012/chart" uri="{CE6537A1-D6FC-4f65-9D91-7224C49458BB}"/>
                <c:ext xmlns:c16="http://schemas.microsoft.com/office/drawing/2014/chart" uri="{C3380CC4-5D6E-409C-BE32-E72D297353CC}">
                  <c16:uniqueId val="{00000013-ABC4-489D-87A9-AC506B85C503}"/>
                </c:ext>
              </c:extLst>
            </c:dLbl>
            <c:dLbl>
              <c:idx val="15"/>
              <c:delete val="1"/>
              <c:extLst>
                <c:ext xmlns:c15="http://schemas.microsoft.com/office/drawing/2012/chart" uri="{CE6537A1-D6FC-4f65-9D91-7224C49458BB}"/>
                <c:ext xmlns:c16="http://schemas.microsoft.com/office/drawing/2014/chart" uri="{C3380CC4-5D6E-409C-BE32-E72D297353CC}">
                  <c16:uniqueId val="{00000014-ABC4-489D-87A9-AC506B85C503}"/>
                </c:ext>
              </c:extLst>
            </c:dLbl>
            <c:dLbl>
              <c:idx val="16"/>
              <c:delete val="1"/>
              <c:extLst>
                <c:ext xmlns:c15="http://schemas.microsoft.com/office/drawing/2012/chart" uri="{CE6537A1-D6FC-4f65-9D91-7224C49458BB}"/>
                <c:ext xmlns:c16="http://schemas.microsoft.com/office/drawing/2014/chart" uri="{C3380CC4-5D6E-409C-BE32-E72D297353CC}">
                  <c16:uniqueId val="{00000015-ABC4-489D-87A9-AC506B85C503}"/>
                </c:ext>
              </c:extLst>
            </c:dLbl>
            <c:dLbl>
              <c:idx val="17"/>
              <c:delete val="1"/>
              <c:extLst>
                <c:ext xmlns:c15="http://schemas.microsoft.com/office/drawing/2012/chart" uri="{CE6537A1-D6FC-4f65-9D91-7224C49458BB}"/>
                <c:ext xmlns:c16="http://schemas.microsoft.com/office/drawing/2014/chart" uri="{C3380CC4-5D6E-409C-BE32-E72D297353CC}">
                  <c16:uniqueId val="{00000016-ABC4-489D-87A9-AC506B85C503}"/>
                </c:ext>
              </c:extLst>
            </c:dLbl>
            <c:dLbl>
              <c:idx val="18"/>
              <c:delete val="1"/>
              <c:extLst>
                <c:ext xmlns:c15="http://schemas.microsoft.com/office/drawing/2012/chart" uri="{CE6537A1-D6FC-4f65-9D91-7224C49458BB}"/>
                <c:ext xmlns:c16="http://schemas.microsoft.com/office/drawing/2014/chart" uri="{C3380CC4-5D6E-409C-BE32-E72D297353CC}">
                  <c16:uniqueId val="{00000017-ABC4-489D-87A9-AC506B85C503}"/>
                </c:ext>
              </c:extLst>
            </c:dLbl>
            <c:dLbl>
              <c:idx val="19"/>
              <c:delete val="1"/>
              <c:extLst>
                <c:ext xmlns:c15="http://schemas.microsoft.com/office/drawing/2012/chart" uri="{CE6537A1-D6FC-4f65-9D91-7224C49458BB}"/>
                <c:ext xmlns:c16="http://schemas.microsoft.com/office/drawing/2014/chart" uri="{C3380CC4-5D6E-409C-BE32-E72D297353CC}">
                  <c16:uniqueId val="{00000018-ABC4-489D-87A9-AC506B85C503}"/>
                </c:ext>
              </c:extLst>
            </c:dLbl>
            <c:dLbl>
              <c:idx val="20"/>
              <c:delete val="1"/>
              <c:extLst>
                <c:ext xmlns:c15="http://schemas.microsoft.com/office/drawing/2012/chart" uri="{CE6537A1-D6FC-4f65-9D91-7224C49458BB}"/>
                <c:ext xmlns:c16="http://schemas.microsoft.com/office/drawing/2014/chart" uri="{C3380CC4-5D6E-409C-BE32-E72D297353CC}">
                  <c16:uniqueId val="{00000019-ABC4-489D-87A9-AC506B85C503}"/>
                </c:ext>
              </c:extLst>
            </c:dLbl>
            <c:dLbl>
              <c:idx val="21"/>
              <c:delete val="1"/>
              <c:extLst>
                <c:ext xmlns:c15="http://schemas.microsoft.com/office/drawing/2012/chart" uri="{CE6537A1-D6FC-4f65-9D91-7224C49458BB}"/>
                <c:ext xmlns:c16="http://schemas.microsoft.com/office/drawing/2014/chart" uri="{C3380CC4-5D6E-409C-BE32-E72D297353CC}">
                  <c16:uniqueId val="{0000001A-ABC4-489D-87A9-AC506B85C503}"/>
                </c:ext>
              </c:extLst>
            </c:dLbl>
            <c:dLbl>
              <c:idx val="22"/>
              <c:delete val="1"/>
              <c:extLst>
                <c:ext xmlns:c15="http://schemas.microsoft.com/office/drawing/2012/chart" uri="{CE6537A1-D6FC-4f65-9D91-7224C49458BB}"/>
                <c:ext xmlns:c16="http://schemas.microsoft.com/office/drawing/2014/chart" uri="{C3380CC4-5D6E-409C-BE32-E72D297353CC}">
                  <c16:uniqueId val="{0000001B-ABC4-489D-87A9-AC506B85C503}"/>
                </c:ext>
              </c:extLst>
            </c:dLbl>
            <c:dLbl>
              <c:idx val="23"/>
              <c:delete val="1"/>
              <c:extLst>
                <c:ext xmlns:c15="http://schemas.microsoft.com/office/drawing/2012/chart" uri="{CE6537A1-D6FC-4f65-9D91-7224C49458BB}"/>
                <c:ext xmlns:c16="http://schemas.microsoft.com/office/drawing/2014/chart" uri="{C3380CC4-5D6E-409C-BE32-E72D297353CC}">
                  <c16:uniqueId val="{0000001C-ABC4-489D-87A9-AC506B85C503}"/>
                </c:ext>
              </c:extLst>
            </c:dLbl>
            <c:dLbl>
              <c:idx val="24"/>
              <c:layout>
                <c:manualLayout>
                  <c:x val="0.80249149630187544"/>
                  <c:y val="3.41844554936633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BC4-489D-87A9-AC506B85C503}"/>
                </c:ext>
              </c:extLst>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version'!$V$4:$V$28</c:f>
              <c:numCache>
                <c:formatCode>#,##0</c:formatCode>
                <c:ptCount val="25"/>
                <c:pt idx="0">
                  <c:v>100</c:v>
                </c:pt>
                <c:pt idx="1">
                  <c:v>128.88540280554895</c:v>
                </c:pt>
                <c:pt idx="2">
                  <c:v>153.55826438813824</c:v>
                </c:pt>
                <c:pt idx="3">
                  <c:v>246.63834320520533</c:v>
                </c:pt>
                <c:pt idx="4">
                  <c:v>389.86865855100729</c:v>
                </c:pt>
                <c:pt idx="5">
                  <c:v>606.16320062710031</c:v>
                </c:pt>
                <c:pt idx="6">
                  <c:v>49.699078446118278</c:v>
                </c:pt>
                <c:pt idx="7">
                  <c:v>82.728858411920797</c:v>
                </c:pt>
                <c:pt idx="8">
                  <c:v>121.62929790311125</c:v>
                </c:pt>
                <c:pt idx="9">
                  <c:v>192.97834500972033</c:v>
                </c:pt>
                <c:pt idx="10">
                  <c:v>303.33377123206833</c:v>
                </c:pt>
                <c:pt idx="11">
                  <c:v>488.35870320108069</c:v>
                </c:pt>
                <c:pt idx="12">
                  <c:v>725.76144448958723</c:v>
                </c:pt>
                <c:pt idx="13">
                  <c:v>497.97448502517841</c:v>
                </c:pt>
                <c:pt idx="14">
                  <c:v>680.5291848295293</c:v>
                </c:pt>
                <c:pt idx="15">
                  <c:v>935.44052548322566</c:v>
                </c:pt>
                <c:pt idx="16">
                  <c:v>130.22385682919185</c:v>
                </c:pt>
                <c:pt idx="17">
                  <c:v>352.52154494388719</c:v>
                </c:pt>
                <c:pt idx="18">
                  <c:v>618.09686377430626</c:v>
                </c:pt>
                <c:pt idx="19">
                  <c:v>874.60912297357754</c:v>
                </c:pt>
                <c:pt idx="20">
                  <c:v>1138.6981786124636</c:v>
                </c:pt>
                <c:pt idx="21">
                  <c:v>1395.1042833581921</c:v>
                </c:pt>
                <c:pt idx="22">
                  <c:v>145.01778957875399</c:v>
                </c:pt>
                <c:pt idx="23">
                  <c:v>185.53212385860058</c:v>
                </c:pt>
                <c:pt idx="24">
                  <c:v>158.52247922217782</c:v>
                </c:pt>
              </c:numCache>
            </c:numRef>
          </c:val>
          <c:smooth val="0"/>
          <c:extLst>
            <c:ext xmlns:c16="http://schemas.microsoft.com/office/drawing/2014/chart" uri="{C3380CC4-5D6E-409C-BE32-E72D297353CC}">
              <c16:uniqueId val="{0000001E-ABC4-489D-87A9-AC506B85C503}"/>
            </c:ext>
          </c:extLst>
        </c:ser>
        <c:ser>
          <c:idx val="7"/>
          <c:order val="7"/>
          <c:tx>
            <c:v>Mite immigration</c:v>
          </c:tx>
          <c:spPr>
            <a:ln>
              <a:noFill/>
              <a:prstDash val="sysDot"/>
            </a:ln>
          </c:spPr>
          <c:marker>
            <c:symbol val="none"/>
          </c:marke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version'!$CG$4:$CG$28</c:f>
              <c:numCache>
                <c:formatCode>0</c:formatCode>
                <c:ptCount val="25"/>
                <c:pt idx="0">
                  <c:v>0</c:v>
                </c:pt>
                <c:pt idx="1">
                  <c:v>0</c:v>
                </c:pt>
                <c:pt idx="2">
                  <c:v>0</c:v>
                </c:pt>
                <c:pt idx="3">
                  <c:v>0</c:v>
                </c:pt>
                <c:pt idx="4">
                  <c:v>0</c:v>
                </c:pt>
                <c:pt idx="5">
                  <c:v>0</c:v>
                </c:pt>
                <c:pt idx="6">
                  <c:v>0</c:v>
                </c:pt>
                <c:pt idx="7">
                  <c:v>0</c:v>
                </c:pt>
                <c:pt idx="8">
                  <c:v>0</c:v>
                </c:pt>
                <c:pt idx="9">
                  <c:v>0</c:v>
                </c:pt>
                <c:pt idx="10">
                  <c:v>10</c:v>
                </c:pt>
                <c:pt idx="11">
                  <c:v>10</c:v>
                </c:pt>
                <c:pt idx="12">
                  <c:v>21</c:v>
                </c:pt>
                <c:pt idx="13">
                  <c:v>45</c:v>
                </c:pt>
                <c:pt idx="14">
                  <c:v>130</c:v>
                </c:pt>
                <c:pt idx="15">
                  <c:v>175</c:v>
                </c:pt>
                <c:pt idx="16">
                  <c:v>210</c:v>
                </c:pt>
                <c:pt idx="17">
                  <c:v>180</c:v>
                </c:pt>
                <c:pt idx="18">
                  <c:v>130</c:v>
                </c:pt>
                <c:pt idx="19">
                  <c:v>75</c:v>
                </c:pt>
                <c:pt idx="20">
                  <c:v>14</c:v>
                </c:pt>
                <c:pt idx="21">
                  <c:v>0</c:v>
                </c:pt>
                <c:pt idx="22">
                  <c:v>0</c:v>
                </c:pt>
                <c:pt idx="23">
                  <c:v>0</c:v>
                </c:pt>
                <c:pt idx="24">
                  <c:v>0</c:v>
                </c:pt>
              </c:numCache>
            </c:numRef>
          </c:val>
          <c:smooth val="0"/>
          <c:extLst>
            <c:ext xmlns:c16="http://schemas.microsoft.com/office/drawing/2014/chart" uri="{C3380CC4-5D6E-409C-BE32-E72D297353CC}">
              <c16:uniqueId val="{0000001F-ABC4-489D-87A9-AC506B85C503}"/>
            </c:ext>
          </c:extLst>
        </c:ser>
        <c:dLbls>
          <c:showLegendKey val="0"/>
          <c:showVal val="0"/>
          <c:showCatName val="0"/>
          <c:showSerName val="0"/>
          <c:showPercent val="0"/>
          <c:showBubbleSize val="0"/>
        </c:dLbls>
        <c:marker val="1"/>
        <c:smooth val="0"/>
        <c:axId val="321974272"/>
        <c:axId val="321975808"/>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version'!$Y$4:$Y$28</c:f>
              <c:numCache>
                <c:formatCode>0</c:formatCode>
                <c:ptCount val="25"/>
                <c:pt idx="0">
                  <c:v>1.0874928302843625</c:v>
                </c:pt>
                <c:pt idx="1">
                  <c:v>0.83154690999650749</c:v>
                </c:pt>
                <c:pt idx="2">
                  <c:v>0.59718333787523048</c:v>
                </c:pt>
                <c:pt idx="3">
                  <c:v>0.75345076684360646</c:v>
                </c:pt>
                <c:pt idx="4">
                  <c:v>1.0315422441167832</c:v>
                </c:pt>
                <c:pt idx="5">
                  <c:v>1.283063789943677</c:v>
                </c:pt>
                <c:pt idx="6">
                  <c:v>0.35346384119733759</c:v>
                </c:pt>
                <c:pt idx="7">
                  <c:v>0.58837429156459742</c:v>
                </c:pt>
                <c:pt idx="8">
                  <c:v>0.65071510419027756</c:v>
                </c:pt>
                <c:pt idx="9">
                  <c:v>0.81695334348596016</c:v>
                </c:pt>
                <c:pt idx="10">
                  <c:v>0.91723666340372256</c:v>
                </c:pt>
                <c:pt idx="11">
                  <c:v>1.3707920689013067</c:v>
                </c:pt>
                <c:pt idx="12">
                  <c:v>2.0428269952388121</c:v>
                </c:pt>
                <c:pt idx="13">
                  <c:v>1.463155246305722</c:v>
                </c:pt>
                <c:pt idx="14">
                  <c:v>2.3901263478678696</c:v>
                </c:pt>
                <c:pt idx="15">
                  <c:v>3.6780468269599869</c:v>
                </c:pt>
                <c:pt idx="16">
                  <c:v>0.68970202928730251</c:v>
                </c:pt>
                <c:pt idx="17">
                  <c:v>1.8335342092770903</c:v>
                </c:pt>
                <c:pt idx="18">
                  <c:v>3.575310571476749</c:v>
                </c:pt>
                <c:pt idx="19">
                  <c:v>5.8137865986653967</c:v>
                </c:pt>
                <c:pt idx="20">
                  <c:v>8.8838913300737392</c:v>
                </c:pt>
                <c:pt idx="21">
                  <c:v>16.980167791374157</c:v>
                </c:pt>
                <c:pt idx="22">
                  <c:v>1.5770580643058134</c:v>
                </c:pt>
                <c:pt idx="23">
                  <c:v>3.6526636884661987</c:v>
                </c:pt>
                <c:pt idx="24">
                  <c:v>3.1209113096866261</c:v>
                </c:pt>
              </c:numCache>
            </c:numRef>
          </c:val>
          <c:smooth val="0"/>
          <c:extLst>
            <c:ext xmlns:c16="http://schemas.microsoft.com/office/drawing/2014/chart" uri="{C3380CC4-5D6E-409C-BE32-E72D297353CC}">
              <c16:uniqueId val="{00000020-ABC4-489D-87A9-AC506B85C503}"/>
            </c:ext>
          </c:extLst>
        </c:ser>
        <c:ser>
          <c:idx val="4"/>
          <c:order val="5"/>
          <c:tx>
            <c:v>U.S. average wash</c:v>
          </c:tx>
          <c:spPr>
            <a:ln w="25400">
              <a:noFill/>
              <a:prstDash val="dash"/>
            </a:ln>
          </c:spPr>
          <c:marker>
            <c:symbol val="none"/>
          </c:marker>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extLst>
            <c:ext xmlns:c16="http://schemas.microsoft.com/office/drawing/2014/chart" uri="{C3380CC4-5D6E-409C-BE32-E72D297353CC}">
              <c16:uniqueId val="{00000021-ABC4-489D-87A9-AC506B85C503}"/>
            </c:ext>
          </c:extLst>
        </c:ser>
        <c:ser>
          <c:idx val="5"/>
          <c:order val="6"/>
          <c:tx>
            <c:v>Treatment &amp; efficacy</c:v>
          </c:tx>
          <c:spPr>
            <a:ln>
              <a:noFill/>
            </a:ln>
          </c:spPr>
          <c:marker>
            <c:symbol val="triangle"/>
            <c:size val="16"/>
            <c:spPr>
              <a:solidFill>
                <a:schemeClr val="tx1"/>
              </a:solidFill>
              <a:ln>
                <a:noFill/>
              </a:ln>
            </c:spPr>
          </c:marker>
          <c:dPt>
            <c:idx val="24"/>
            <c:marker>
              <c:symbol val="none"/>
            </c:marker>
            <c:bubble3D val="0"/>
            <c:extLst>
              <c:ext xmlns:c16="http://schemas.microsoft.com/office/drawing/2014/chart" uri="{C3380CC4-5D6E-409C-BE32-E72D297353CC}">
                <c16:uniqueId val="{00000022-ABC4-489D-87A9-AC506B85C503}"/>
              </c:ext>
            </c:extLst>
          </c:dPt>
          <c:dLbls>
            <c:dLbl>
              <c:idx val="24"/>
              <c:delete val="1"/>
              <c:extLst>
                <c:ext xmlns:c15="http://schemas.microsoft.com/office/drawing/2012/chart" uri="{CE6537A1-D6FC-4f65-9D91-7224C49458BB}"/>
                <c:ext xmlns:c16="http://schemas.microsoft.com/office/drawing/2014/chart" uri="{C3380CC4-5D6E-409C-BE32-E72D297353CC}">
                  <c16:uniqueId val="{00000022-ABC4-489D-87A9-AC506B85C503}"/>
                </c:ext>
              </c:extLst>
            </c:dLbl>
            <c:spPr>
              <a:noFill/>
              <a:ln>
                <a:noFill/>
              </a:ln>
              <a:effectLst/>
            </c:spPr>
            <c:txPr>
              <a:bodyPr/>
              <a:lstStyle/>
              <a:p>
                <a:pPr>
                  <a:defRPr sz="12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version'!$T$4:$T$28</c:f>
              <c:numCache>
                <c:formatCode>0%</c:formatCode>
                <c:ptCount val="25"/>
                <c:pt idx="5">
                  <c:v>0.95</c:v>
                </c:pt>
                <c:pt idx="12">
                  <c:v>0.5</c:v>
                </c:pt>
                <c:pt idx="15">
                  <c:v>0.9</c:v>
                </c:pt>
                <c:pt idx="21">
                  <c:v>0.9</c:v>
                </c:pt>
                <c:pt idx="24" formatCode="General">
                  <c:v>0</c:v>
                </c:pt>
              </c:numCache>
            </c:numRef>
          </c:val>
          <c:smooth val="0"/>
          <c:extLst>
            <c:ext xmlns:c16="http://schemas.microsoft.com/office/drawing/2014/chart" uri="{C3380CC4-5D6E-409C-BE32-E72D297353CC}">
              <c16:uniqueId val="{00000023-ABC4-489D-87A9-AC506B85C503}"/>
            </c:ext>
          </c:extLst>
        </c:ser>
        <c:ser>
          <c:idx val="8"/>
          <c:order val="8"/>
          <c:tx>
            <c:v>r value</c:v>
          </c:tx>
          <c:cat>
            <c:numRef>
              <c:f>'Current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version'!$R$24</c:f>
              <c:numCache>
                <c:formatCode>0.000</c:formatCode>
                <c:ptCount val="1"/>
                <c:pt idx="0">
                  <c:v>9.4741388669757134E-3</c:v>
                </c:pt>
              </c:numCache>
            </c:numRef>
          </c:val>
          <c:smooth val="0"/>
          <c:extLst>
            <c:ext xmlns:c16="http://schemas.microsoft.com/office/drawing/2014/chart" uri="{C3380CC4-5D6E-409C-BE32-E72D297353CC}">
              <c16:uniqueId val="{00000024-ABC4-489D-87A9-AC506B85C503}"/>
            </c:ext>
          </c:extLst>
        </c:ser>
        <c:dLbls>
          <c:showLegendKey val="0"/>
          <c:showVal val="0"/>
          <c:showCatName val="0"/>
          <c:showSerName val="0"/>
          <c:showPercent val="0"/>
          <c:showBubbleSize val="0"/>
        </c:dLbls>
        <c:marker val="1"/>
        <c:smooth val="0"/>
        <c:axId val="321988096"/>
        <c:axId val="321977728"/>
      </c:lineChart>
      <c:dateAx>
        <c:axId val="321974272"/>
        <c:scaling>
          <c:orientation val="minMax"/>
        </c:scaling>
        <c:delete val="0"/>
        <c:axPos val="b"/>
        <c:numFmt formatCode="[$-409]d\-mmm;@" sourceLinked="1"/>
        <c:majorTickMark val="out"/>
        <c:minorTickMark val="none"/>
        <c:tickLblPos val="nextTo"/>
        <c:crossAx val="321975808"/>
        <c:crosses val="autoZero"/>
        <c:auto val="1"/>
        <c:lblOffset val="100"/>
        <c:baseTimeUnit val="days"/>
        <c:majorUnit val="1"/>
        <c:majorTimeUnit val="months"/>
        <c:minorUnit val="1"/>
        <c:minorTimeUnit val="months"/>
      </c:dateAx>
      <c:valAx>
        <c:axId val="321975808"/>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6E-2"/>
              <c:y val="2.1617088089280978E-2"/>
            </c:manualLayout>
          </c:layout>
          <c:overlay val="0"/>
        </c:title>
        <c:numFmt formatCode="#,##0" sourceLinked="0"/>
        <c:majorTickMark val="out"/>
        <c:minorTickMark val="none"/>
        <c:tickLblPos val="nextTo"/>
        <c:txPr>
          <a:bodyPr/>
          <a:lstStyle/>
          <a:p>
            <a:pPr>
              <a:defRPr sz="800"/>
            </a:pPr>
            <a:endParaRPr lang="en-US"/>
          </a:p>
        </c:txPr>
        <c:crossAx val="321974272"/>
        <c:crossesAt val="40544"/>
        <c:crossBetween val="midCat"/>
      </c:valAx>
      <c:valAx>
        <c:axId val="321977728"/>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33"/>
              <c:y val="0.16810172357821784"/>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21988096"/>
        <c:crosses val="max"/>
        <c:crossBetween val="between"/>
      </c:valAx>
      <c:dateAx>
        <c:axId val="321988096"/>
        <c:scaling>
          <c:orientation val="minMax"/>
        </c:scaling>
        <c:delete val="1"/>
        <c:axPos val="b"/>
        <c:numFmt formatCode="[$-409]d\-mmm;@" sourceLinked="1"/>
        <c:majorTickMark val="out"/>
        <c:minorTickMark val="none"/>
        <c:tickLblPos val="nextTo"/>
        <c:crossAx val="32197772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1"/>
          <c:y val="5.0022794769701409E-2"/>
          <c:w val="0.2484079129035453"/>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8"/>
          <c:y val="4.3667727374786115E-2"/>
          <c:w val="0.77464173422335081"/>
          <c:h val="0.85664022664122796"/>
        </c:manualLayout>
      </c:layout>
      <c:areaChart>
        <c:grouping val="standard"/>
        <c:varyColors val="0"/>
        <c:ser>
          <c:idx val="1"/>
          <c:order val="0"/>
          <c:tx>
            <c:v>Adult bee pop</c:v>
          </c:tx>
          <c:spPr>
            <a:solidFill>
              <a:srgbClr val="FFE593"/>
            </a:solidFill>
            <a:ln>
              <a:solidFill>
                <a:srgbClr val="FFC000"/>
              </a:solidFill>
            </a:ln>
          </c:spP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version'!$AL$4:$AL$28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extLst>
            <c:ext xmlns:c16="http://schemas.microsoft.com/office/drawing/2014/chart" uri="{C3380CC4-5D6E-409C-BE32-E72D297353CC}">
              <c16:uniqueId val="{00000000-8D31-47DB-8492-4B8FC7010147}"/>
            </c:ext>
          </c:extLst>
        </c:ser>
        <c:ser>
          <c:idx val="2"/>
          <c:order val="2"/>
          <c:tx>
            <c:v>Total pupae</c:v>
          </c:tx>
          <c:spPr>
            <a:solidFill>
              <a:srgbClr val="FFC000"/>
            </a:solidFill>
            <a:ln w="12700">
              <a:solidFill>
                <a:schemeClr val="accent6"/>
              </a:solidFill>
            </a:ln>
          </c:spP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version'!$AP$4:$AP$28</c:f>
              <c:numCache>
                <c:formatCode>General</c:formatCode>
                <c:ptCount val="25"/>
                <c:pt idx="0">
                  <c:v>0.6</c:v>
                </c:pt>
                <c:pt idx="1">
                  <c:v>675</c:v>
                </c:pt>
                <c:pt idx="2">
                  <c:v>1350</c:v>
                </c:pt>
                <c:pt idx="3">
                  <c:v>1350</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extLst>
            <c:ext xmlns:c16="http://schemas.microsoft.com/office/drawing/2014/chart" uri="{C3380CC4-5D6E-409C-BE32-E72D297353CC}">
              <c16:uniqueId val="{00000001-8D31-47DB-8492-4B8FC7010147}"/>
            </c:ext>
          </c:extLst>
        </c:ser>
        <c:ser>
          <c:idx val="6"/>
          <c:order val="3"/>
          <c:tx>
            <c:v>Pupae parasitized</c:v>
          </c:tx>
          <c:spPr>
            <a:solidFill>
              <a:srgbClr val="FF0000">
                <a:alpha val="50000"/>
              </a:srgbClr>
            </a:solidFill>
            <a:ln w="12700">
              <a:solidFill>
                <a:srgbClr val="FF0000"/>
              </a:solidFill>
              <a:prstDash val="solid"/>
            </a:ln>
          </c:spP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version'!$AQ$4:$AQ$28</c:f>
              <c:numCache>
                <c:formatCode>0</c:formatCode>
                <c:ptCount val="25"/>
                <c:pt idx="0">
                  <c:v>0</c:v>
                </c:pt>
                <c:pt idx="1">
                  <c:v>26.991899522047937</c:v>
                </c:pt>
                <c:pt idx="2">
                  <c:v>33.262735122807058</c:v>
                </c:pt>
                <c:pt idx="3">
                  <c:v>43.124113389544597</c:v>
                </c:pt>
                <c:pt idx="4">
                  <c:v>59.847410201412821</c:v>
                </c:pt>
                <c:pt idx="5">
                  <c:v>96.939808085691737</c:v>
                </c:pt>
                <c:pt idx="6">
                  <c:v>138.65052027580029</c:v>
                </c:pt>
                <c:pt idx="7">
                  <c:v>208.58882309772898</c:v>
                </c:pt>
                <c:pt idx="8">
                  <c:v>311.1076721445578</c:v>
                </c:pt>
                <c:pt idx="9">
                  <c:v>444.84143501883005</c:v>
                </c:pt>
                <c:pt idx="10">
                  <c:v>649.0556874255542</c:v>
                </c:pt>
                <c:pt idx="11">
                  <c:v>881.11528975730994</c:v>
                </c:pt>
                <c:pt idx="12">
                  <c:v>1158.6588084900568</c:v>
                </c:pt>
                <c:pt idx="13">
                  <c:v>1460.3556375328812</c:v>
                </c:pt>
                <c:pt idx="14">
                  <c:v>1828.0793601432761</c:v>
                </c:pt>
                <c:pt idx="15">
                  <c:v>2318.1624036358699</c:v>
                </c:pt>
                <c:pt idx="16">
                  <c:v>2998.3786956049862</c:v>
                </c:pt>
                <c:pt idx="17">
                  <c:v>3826.5101136386411</c:v>
                </c:pt>
                <c:pt idx="18">
                  <c:v>3400.299328467835</c:v>
                </c:pt>
                <c:pt idx="19">
                  <c:v>1303.1972020365249</c:v>
                </c:pt>
                <c:pt idx="20">
                  <c:v>0</c:v>
                </c:pt>
                <c:pt idx="21">
                  <c:v>0</c:v>
                </c:pt>
                <c:pt idx="22">
                  <c:v>0</c:v>
                </c:pt>
                <c:pt idx="23">
                  <c:v>0</c:v>
                </c:pt>
                <c:pt idx="24">
                  <c:v>0</c:v>
                </c:pt>
              </c:numCache>
            </c:numRef>
          </c:val>
          <c:extLst>
            <c:ext xmlns:c16="http://schemas.microsoft.com/office/drawing/2014/chart" uri="{C3380CC4-5D6E-409C-BE32-E72D297353CC}">
              <c16:uniqueId val="{00000002-8D31-47DB-8492-4B8FC7010147}"/>
            </c:ext>
          </c:extLst>
        </c:ser>
        <c:dLbls>
          <c:showLegendKey val="0"/>
          <c:showVal val="0"/>
          <c:showCatName val="0"/>
          <c:showSerName val="0"/>
          <c:showPercent val="0"/>
          <c:showBubbleSize val="0"/>
        </c:dLbls>
        <c:axId val="322544000"/>
        <c:axId val="322545536"/>
      </c:areaChart>
      <c:areaChart>
        <c:grouping val="standard"/>
        <c:varyColors val="0"/>
        <c:ser>
          <c:idx val="9"/>
          <c:order val="9"/>
          <c:tx>
            <c:v>crash</c:v>
          </c:tx>
          <c:spPr>
            <a:solidFill>
              <a:srgbClr val="FF0000"/>
            </a:solidFill>
          </c:spP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100</c:v>
                </c:pt>
                <c:pt idx="20">
                  <c:v>200</c:v>
                </c:pt>
                <c:pt idx="21">
                  <c:v>200</c:v>
                </c:pt>
                <c:pt idx="22">
                  <c:v>200</c:v>
                </c:pt>
                <c:pt idx="23">
                  <c:v>200</c:v>
                </c:pt>
                <c:pt idx="24">
                  <c:v>200</c:v>
                </c:pt>
              </c:numCache>
            </c:numRef>
          </c:val>
          <c:extLst>
            <c:ext xmlns:c16="http://schemas.microsoft.com/office/drawing/2014/chart" uri="{C3380CC4-5D6E-409C-BE32-E72D297353CC}">
              <c16:uniqueId val="{00000003-8D31-47DB-8492-4B8FC7010147}"/>
            </c:ext>
          </c:extLst>
        </c:ser>
        <c:ser>
          <c:idx val="10"/>
          <c:order val="10"/>
          <c:tx>
            <c:v>Winter crash</c:v>
          </c:tx>
          <c:spPr>
            <a:solidFill>
              <a:srgbClr val="FF0000"/>
            </a:solidFill>
          </c:spP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version'!$CT$4:$CT$28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100</c:v>
                </c:pt>
                <c:pt idx="20">
                  <c:v>200</c:v>
                </c:pt>
                <c:pt idx="21">
                  <c:v>200</c:v>
                </c:pt>
                <c:pt idx="22">
                  <c:v>200</c:v>
                </c:pt>
                <c:pt idx="23">
                  <c:v>200</c:v>
                </c:pt>
                <c:pt idx="24">
                  <c:v>200</c:v>
                </c:pt>
              </c:numCache>
            </c:numRef>
          </c:val>
          <c:extLst>
            <c:ext xmlns:c16="http://schemas.microsoft.com/office/drawing/2014/chart" uri="{C3380CC4-5D6E-409C-BE32-E72D297353CC}">
              <c16:uniqueId val="{00000004-8D31-47DB-8492-4B8FC7010147}"/>
            </c:ext>
          </c:extLst>
        </c:ser>
        <c:dLbls>
          <c:showLegendKey val="0"/>
          <c:showVal val="0"/>
          <c:showCatName val="0"/>
          <c:showSerName val="0"/>
          <c:showPercent val="0"/>
          <c:showBubbleSize val="0"/>
        </c:dLbls>
        <c:axId val="322553728"/>
        <c:axId val="32255180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
                  <c:y val="2.2789636995775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31-47DB-8492-4B8FC7010147}"/>
                </c:ext>
              </c:extLst>
            </c:dLbl>
            <c:dLbl>
              <c:idx val="1"/>
              <c:delete val="1"/>
              <c:extLst>
                <c:ext xmlns:c15="http://schemas.microsoft.com/office/drawing/2012/chart" uri="{CE6537A1-D6FC-4f65-9D91-7224C49458BB}"/>
                <c:ext xmlns:c16="http://schemas.microsoft.com/office/drawing/2014/chart" uri="{C3380CC4-5D6E-409C-BE32-E72D297353CC}">
                  <c16:uniqueId val="{00000006-8D31-47DB-8492-4B8FC7010147}"/>
                </c:ext>
              </c:extLst>
            </c:dLbl>
            <c:dLbl>
              <c:idx val="2"/>
              <c:delete val="1"/>
              <c:extLst>
                <c:ext xmlns:c15="http://schemas.microsoft.com/office/drawing/2012/chart" uri="{CE6537A1-D6FC-4f65-9D91-7224C49458BB}"/>
                <c:ext xmlns:c16="http://schemas.microsoft.com/office/drawing/2014/chart" uri="{C3380CC4-5D6E-409C-BE32-E72D297353CC}">
                  <c16:uniqueId val="{00000007-8D31-47DB-8492-4B8FC7010147}"/>
                </c:ext>
              </c:extLst>
            </c:dLbl>
            <c:dLbl>
              <c:idx val="3"/>
              <c:delete val="1"/>
              <c:extLst>
                <c:ext xmlns:c15="http://schemas.microsoft.com/office/drawing/2012/chart" uri="{CE6537A1-D6FC-4f65-9D91-7224C49458BB}"/>
                <c:ext xmlns:c16="http://schemas.microsoft.com/office/drawing/2014/chart" uri="{C3380CC4-5D6E-409C-BE32-E72D297353CC}">
                  <c16:uniqueId val="{00000008-8D31-47DB-8492-4B8FC7010147}"/>
                </c:ext>
              </c:extLst>
            </c:dLbl>
            <c:dLbl>
              <c:idx val="4"/>
              <c:delete val="1"/>
              <c:extLst>
                <c:ext xmlns:c15="http://schemas.microsoft.com/office/drawing/2012/chart" uri="{CE6537A1-D6FC-4f65-9D91-7224C49458BB}"/>
                <c:ext xmlns:c16="http://schemas.microsoft.com/office/drawing/2014/chart" uri="{C3380CC4-5D6E-409C-BE32-E72D297353CC}">
                  <c16:uniqueId val="{00000009-8D31-47DB-8492-4B8FC7010147}"/>
                </c:ext>
              </c:extLst>
            </c:dLbl>
            <c:dLbl>
              <c:idx val="5"/>
              <c:delete val="1"/>
              <c:extLst>
                <c:ext xmlns:c15="http://schemas.microsoft.com/office/drawing/2012/chart" uri="{CE6537A1-D6FC-4f65-9D91-7224C49458BB}"/>
                <c:ext xmlns:c16="http://schemas.microsoft.com/office/drawing/2014/chart" uri="{C3380CC4-5D6E-409C-BE32-E72D297353CC}">
                  <c16:uniqueId val="{0000000A-8D31-47DB-8492-4B8FC7010147}"/>
                </c:ext>
              </c:extLst>
            </c:dLbl>
            <c:dLbl>
              <c:idx val="6"/>
              <c:delete val="1"/>
              <c:extLst>
                <c:ext xmlns:c15="http://schemas.microsoft.com/office/drawing/2012/chart" uri="{CE6537A1-D6FC-4f65-9D91-7224C49458BB}"/>
                <c:ext xmlns:c16="http://schemas.microsoft.com/office/drawing/2014/chart" uri="{C3380CC4-5D6E-409C-BE32-E72D297353CC}">
                  <c16:uniqueId val="{0000000B-8D31-47DB-8492-4B8FC7010147}"/>
                </c:ext>
              </c:extLst>
            </c:dLbl>
            <c:dLbl>
              <c:idx val="7"/>
              <c:delete val="1"/>
              <c:extLst>
                <c:ext xmlns:c15="http://schemas.microsoft.com/office/drawing/2012/chart" uri="{CE6537A1-D6FC-4f65-9D91-7224C49458BB}"/>
                <c:ext xmlns:c16="http://schemas.microsoft.com/office/drawing/2014/chart" uri="{C3380CC4-5D6E-409C-BE32-E72D297353CC}">
                  <c16:uniqueId val="{0000000C-8D31-47DB-8492-4B8FC7010147}"/>
                </c:ext>
              </c:extLst>
            </c:dLbl>
            <c:dLbl>
              <c:idx val="8"/>
              <c:delete val="1"/>
              <c:extLst>
                <c:ext xmlns:c15="http://schemas.microsoft.com/office/drawing/2012/chart" uri="{CE6537A1-D6FC-4f65-9D91-7224C49458BB}"/>
                <c:ext xmlns:c16="http://schemas.microsoft.com/office/drawing/2014/chart" uri="{C3380CC4-5D6E-409C-BE32-E72D297353CC}">
                  <c16:uniqueId val="{0000000D-8D31-47DB-8492-4B8FC7010147}"/>
                </c:ext>
              </c:extLst>
            </c:dLbl>
            <c:dLbl>
              <c:idx val="9"/>
              <c:delete val="1"/>
              <c:extLst>
                <c:ext xmlns:c15="http://schemas.microsoft.com/office/drawing/2012/chart" uri="{CE6537A1-D6FC-4f65-9D91-7224C49458BB}"/>
                <c:ext xmlns:c16="http://schemas.microsoft.com/office/drawing/2014/chart" uri="{C3380CC4-5D6E-409C-BE32-E72D297353CC}">
                  <c16:uniqueId val="{0000000E-8D31-47DB-8492-4B8FC7010147}"/>
                </c:ext>
              </c:extLst>
            </c:dLbl>
            <c:dLbl>
              <c:idx val="10"/>
              <c:delete val="1"/>
              <c:extLst>
                <c:ext xmlns:c15="http://schemas.microsoft.com/office/drawing/2012/chart" uri="{CE6537A1-D6FC-4f65-9D91-7224C49458BB}"/>
                <c:ext xmlns:c16="http://schemas.microsoft.com/office/drawing/2014/chart" uri="{C3380CC4-5D6E-409C-BE32-E72D297353CC}">
                  <c16:uniqueId val="{0000000F-8D31-47DB-8492-4B8FC7010147}"/>
                </c:ext>
              </c:extLst>
            </c:dLbl>
            <c:dLbl>
              <c:idx val="11"/>
              <c:delete val="1"/>
              <c:extLst>
                <c:ext xmlns:c15="http://schemas.microsoft.com/office/drawing/2012/chart" uri="{CE6537A1-D6FC-4f65-9D91-7224C49458BB}"/>
                <c:ext xmlns:c16="http://schemas.microsoft.com/office/drawing/2014/chart" uri="{C3380CC4-5D6E-409C-BE32-E72D297353CC}">
                  <c16:uniqueId val="{00000010-8D31-47DB-8492-4B8FC7010147}"/>
                </c:ext>
              </c:extLst>
            </c:dLbl>
            <c:dLbl>
              <c:idx val="12"/>
              <c:delete val="1"/>
              <c:extLst>
                <c:ext xmlns:c15="http://schemas.microsoft.com/office/drawing/2012/chart" uri="{CE6537A1-D6FC-4f65-9D91-7224C49458BB}"/>
                <c:ext xmlns:c16="http://schemas.microsoft.com/office/drawing/2014/chart" uri="{C3380CC4-5D6E-409C-BE32-E72D297353CC}">
                  <c16:uniqueId val="{00000011-8D31-47DB-8492-4B8FC7010147}"/>
                </c:ext>
              </c:extLst>
            </c:dLbl>
            <c:dLbl>
              <c:idx val="13"/>
              <c:delete val="1"/>
              <c:extLst>
                <c:ext xmlns:c15="http://schemas.microsoft.com/office/drawing/2012/chart" uri="{CE6537A1-D6FC-4f65-9D91-7224C49458BB}"/>
                <c:ext xmlns:c16="http://schemas.microsoft.com/office/drawing/2014/chart" uri="{C3380CC4-5D6E-409C-BE32-E72D297353CC}">
                  <c16:uniqueId val="{00000012-8D31-47DB-8492-4B8FC7010147}"/>
                </c:ext>
              </c:extLst>
            </c:dLbl>
            <c:dLbl>
              <c:idx val="14"/>
              <c:delete val="1"/>
              <c:extLst>
                <c:ext xmlns:c15="http://schemas.microsoft.com/office/drawing/2012/chart" uri="{CE6537A1-D6FC-4f65-9D91-7224C49458BB}"/>
                <c:ext xmlns:c16="http://schemas.microsoft.com/office/drawing/2014/chart" uri="{C3380CC4-5D6E-409C-BE32-E72D297353CC}">
                  <c16:uniqueId val="{00000013-8D31-47DB-8492-4B8FC7010147}"/>
                </c:ext>
              </c:extLst>
            </c:dLbl>
            <c:dLbl>
              <c:idx val="15"/>
              <c:delete val="1"/>
              <c:extLst>
                <c:ext xmlns:c15="http://schemas.microsoft.com/office/drawing/2012/chart" uri="{CE6537A1-D6FC-4f65-9D91-7224C49458BB}"/>
                <c:ext xmlns:c16="http://schemas.microsoft.com/office/drawing/2014/chart" uri="{C3380CC4-5D6E-409C-BE32-E72D297353CC}">
                  <c16:uniqueId val="{00000014-8D31-47DB-8492-4B8FC7010147}"/>
                </c:ext>
              </c:extLst>
            </c:dLbl>
            <c:dLbl>
              <c:idx val="16"/>
              <c:delete val="1"/>
              <c:extLst>
                <c:ext xmlns:c15="http://schemas.microsoft.com/office/drawing/2012/chart" uri="{CE6537A1-D6FC-4f65-9D91-7224C49458BB}"/>
                <c:ext xmlns:c16="http://schemas.microsoft.com/office/drawing/2014/chart" uri="{C3380CC4-5D6E-409C-BE32-E72D297353CC}">
                  <c16:uniqueId val="{00000015-8D31-47DB-8492-4B8FC7010147}"/>
                </c:ext>
              </c:extLst>
            </c:dLbl>
            <c:dLbl>
              <c:idx val="17"/>
              <c:delete val="1"/>
              <c:extLst>
                <c:ext xmlns:c15="http://schemas.microsoft.com/office/drawing/2012/chart" uri="{CE6537A1-D6FC-4f65-9D91-7224C49458BB}"/>
                <c:ext xmlns:c16="http://schemas.microsoft.com/office/drawing/2014/chart" uri="{C3380CC4-5D6E-409C-BE32-E72D297353CC}">
                  <c16:uniqueId val="{00000016-8D31-47DB-8492-4B8FC7010147}"/>
                </c:ext>
              </c:extLst>
            </c:dLbl>
            <c:dLbl>
              <c:idx val="18"/>
              <c:delete val="1"/>
              <c:extLst>
                <c:ext xmlns:c15="http://schemas.microsoft.com/office/drawing/2012/chart" uri="{CE6537A1-D6FC-4f65-9D91-7224C49458BB}"/>
                <c:ext xmlns:c16="http://schemas.microsoft.com/office/drawing/2014/chart" uri="{C3380CC4-5D6E-409C-BE32-E72D297353CC}">
                  <c16:uniqueId val="{00000017-8D31-47DB-8492-4B8FC7010147}"/>
                </c:ext>
              </c:extLst>
            </c:dLbl>
            <c:dLbl>
              <c:idx val="19"/>
              <c:delete val="1"/>
              <c:extLst>
                <c:ext xmlns:c15="http://schemas.microsoft.com/office/drawing/2012/chart" uri="{CE6537A1-D6FC-4f65-9D91-7224C49458BB}"/>
                <c:ext xmlns:c16="http://schemas.microsoft.com/office/drawing/2014/chart" uri="{C3380CC4-5D6E-409C-BE32-E72D297353CC}">
                  <c16:uniqueId val="{00000018-8D31-47DB-8492-4B8FC7010147}"/>
                </c:ext>
              </c:extLst>
            </c:dLbl>
            <c:dLbl>
              <c:idx val="20"/>
              <c:delete val="1"/>
              <c:extLst>
                <c:ext xmlns:c15="http://schemas.microsoft.com/office/drawing/2012/chart" uri="{CE6537A1-D6FC-4f65-9D91-7224C49458BB}"/>
                <c:ext xmlns:c16="http://schemas.microsoft.com/office/drawing/2014/chart" uri="{C3380CC4-5D6E-409C-BE32-E72D297353CC}">
                  <c16:uniqueId val="{00000019-8D31-47DB-8492-4B8FC7010147}"/>
                </c:ext>
              </c:extLst>
            </c:dLbl>
            <c:dLbl>
              <c:idx val="21"/>
              <c:delete val="1"/>
              <c:extLst>
                <c:ext xmlns:c15="http://schemas.microsoft.com/office/drawing/2012/chart" uri="{CE6537A1-D6FC-4f65-9D91-7224C49458BB}"/>
                <c:ext xmlns:c16="http://schemas.microsoft.com/office/drawing/2014/chart" uri="{C3380CC4-5D6E-409C-BE32-E72D297353CC}">
                  <c16:uniqueId val="{0000001A-8D31-47DB-8492-4B8FC7010147}"/>
                </c:ext>
              </c:extLst>
            </c:dLbl>
            <c:dLbl>
              <c:idx val="22"/>
              <c:delete val="1"/>
              <c:extLst>
                <c:ext xmlns:c15="http://schemas.microsoft.com/office/drawing/2012/chart" uri="{CE6537A1-D6FC-4f65-9D91-7224C49458BB}"/>
                <c:ext xmlns:c16="http://schemas.microsoft.com/office/drawing/2014/chart" uri="{C3380CC4-5D6E-409C-BE32-E72D297353CC}">
                  <c16:uniqueId val="{0000001B-8D31-47DB-8492-4B8FC7010147}"/>
                </c:ext>
              </c:extLst>
            </c:dLbl>
            <c:dLbl>
              <c:idx val="23"/>
              <c:delete val="1"/>
              <c:extLst>
                <c:ext xmlns:c15="http://schemas.microsoft.com/office/drawing/2012/chart" uri="{CE6537A1-D6FC-4f65-9D91-7224C49458BB}"/>
                <c:ext xmlns:c16="http://schemas.microsoft.com/office/drawing/2014/chart" uri="{C3380CC4-5D6E-409C-BE32-E72D297353CC}">
                  <c16:uniqueId val="{0000001C-8D31-47DB-8492-4B8FC7010147}"/>
                </c:ext>
              </c:extLst>
            </c:dLbl>
            <c:dLbl>
              <c:idx val="24"/>
              <c:layout>
                <c:manualLayout>
                  <c:x val="0.80249149630187544"/>
                  <c:y val="3.41844554936633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D31-47DB-8492-4B8FC7010147}"/>
                </c:ext>
              </c:extLst>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version'!$V$4:$V$28</c:f>
              <c:numCache>
                <c:formatCode>#,##0</c:formatCode>
                <c:ptCount val="25"/>
                <c:pt idx="0">
                  <c:v>750</c:v>
                </c:pt>
                <c:pt idx="1">
                  <c:v>694.95062482972367</c:v>
                </c:pt>
                <c:pt idx="2">
                  <c:v>752.40543453148985</c:v>
                </c:pt>
                <c:pt idx="3">
                  <c:v>954.74131259102001</c:v>
                </c:pt>
                <c:pt idx="4">
                  <c:v>1143.583198188054</c:v>
                </c:pt>
                <c:pt idx="5">
                  <c:v>1503.0452292670473</c:v>
                </c:pt>
                <c:pt idx="6">
                  <c:v>2075.0728361017837</c:v>
                </c:pt>
                <c:pt idx="7">
                  <c:v>3188.8180177029308</c:v>
                </c:pt>
                <c:pt idx="8">
                  <c:v>4977.2020640623687</c:v>
                </c:pt>
                <c:pt idx="9">
                  <c:v>7653.1643225363296</c:v>
                </c:pt>
                <c:pt idx="10">
                  <c:v>11377.236125199071</c:v>
                </c:pt>
                <c:pt idx="11">
                  <c:v>16530.543930828055</c:v>
                </c:pt>
                <c:pt idx="12">
                  <c:v>22947.315810027831</c:v>
                </c:pt>
                <c:pt idx="13">
                  <c:v>31157.407957558178</c:v>
                </c:pt>
                <c:pt idx="14">
                  <c:v>40941.683328853112</c:v>
                </c:pt>
                <c:pt idx="15">
                  <c:v>53800.127573282254</c:v>
                </c:pt>
                <c:pt idx="16">
                  <c:v>67853.528400001029</c:v>
                </c:pt>
                <c:pt idx="17">
                  <c:v>82532.998551331621</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1E-8D31-47DB-8492-4B8FC7010147}"/>
            </c:ext>
          </c:extLst>
        </c:ser>
        <c:ser>
          <c:idx val="7"/>
          <c:order val="7"/>
          <c:tx>
            <c:v>Mite immigration</c:v>
          </c:tx>
          <c:spPr>
            <a:ln>
              <a:noFill/>
              <a:prstDash val="sysDot"/>
            </a:ln>
          </c:spPr>
          <c:marker>
            <c:symbol val="none"/>
          </c:marke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version'!$CG$4:$CG$28</c:f>
              <c:numCache>
                <c:formatCode>0</c:formatCode>
                <c:ptCount val="25"/>
                <c:pt idx="0">
                  <c:v>0</c:v>
                </c:pt>
                <c:pt idx="1">
                  <c:v>0</c:v>
                </c:pt>
                <c:pt idx="2">
                  <c:v>0</c:v>
                </c:pt>
                <c:pt idx="3">
                  <c:v>0</c:v>
                </c:pt>
                <c:pt idx="4">
                  <c:v>0</c:v>
                </c:pt>
                <c:pt idx="5">
                  <c:v>0</c:v>
                </c:pt>
                <c:pt idx="6">
                  <c:v>0</c:v>
                </c:pt>
                <c:pt idx="7">
                  <c:v>0</c:v>
                </c:pt>
                <c:pt idx="8">
                  <c:v>0</c:v>
                </c:pt>
                <c:pt idx="9">
                  <c:v>0</c:v>
                </c:pt>
                <c:pt idx="10">
                  <c:v>10</c:v>
                </c:pt>
                <c:pt idx="11">
                  <c:v>10</c:v>
                </c:pt>
                <c:pt idx="12">
                  <c:v>21</c:v>
                </c:pt>
                <c:pt idx="13">
                  <c:v>45</c:v>
                </c:pt>
                <c:pt idx="14">
                  <c:v>130</c:v>
                </c:pt>
                <c:pt idx="15">
                  <c:v>175</c:v>
                </c:pt>
                <c:pt idx="16">
                  <c:v>210</c:v>
                </c:pt>
                <c:pt idx="17">
                  <c:v>180</c:v>
                </c:pt>
                <c:pt idx="18">
                  <c:v>130</c:v>
                </c:pt>
                <c:pt idx="19">
                  <c:v>75</c:v>
                </c:pt>
                <c:pt idx="20">
                  <c:v>14</c:v>
                </c:pt>
                <c:pt idx="21">
                  <c:v>0</c:v>
                </c:pt>
                <c:pt idx="22">
                  <c:v>0</c:v>
                </c:pt>
                <c:pt idx="23">
                  <c:v>0</c:v>
                </c:pt>
                <c:pt idx="24">
                  <c:v>0</c:v>
                </c:pt>
              </c:numCache>
            </c:numRef>
          </c:val>
          <c:smooth val="0"/>
          <c:extLst>
            <c:ext xmlns:c16="http://schemas.microsoft.com/office/drawing/2014/chart" uri="{C3380CC4-5D6E-409C-BE32-E72D297353CC}">
              <c16:uniqueId val="{0000001F-8D31-47DB-8492-4B8FC7010147}"/>
            </c:ext>
          </c:extLst>
        </c:ser>
        <c:dLbls>
          <c:showLegendKey val="0"/>
          <c:showVal val="0"/>
          <c:showCatName val="0"/>
          <c:showSerName val="0"/>
          <c:showPercent val="0"/>
          <c:showBubbleSize val="0"/>
        </c:dLbls>
        <c:marker val="1"/>
        <c:smooth val="0"/>
        <c:axId val="322544000"/>
        <c:axId val="322545536"/>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version'!$Y$4:$Y$28</c:f>
              <c:numCache>
                <c:formatCode>0</c:formatCode>
                <c:ptCount val="25"/>
                <c:pt idx="0">
                  <c:v>1.4765625</c:v>
                </c:pt>
                <c:pt idx="1">
                  <c:v>0.82586412812386956</c:v>
                </c:pt>
                <c:pt idx="2">
                  <c:v>0.81823551551998575</c:v>
                </c:pt>
                <c:pt idx="3">
                  <c:v>1.1620398473817879</c:v>
                </c:pt>
                <c:pt idx="4">
                  <c:v>1.211347400781877</c:v>
                </c:pt>
                <c:pt idx="5">
                  <c:v>1.3777059516486378</c:v>
                </c:pt>
                <c:pt idx="6">
                  <c:v>1.4641001052431184</c:v>
                </c:pt>
                <c:pt idx="7">
                  <c:v>1.3525838558137002</c:v>
                </c:pt>
                <c:pt idx="8">
                  <c:v>1.7735921644532779</c:v>
                </c:pt>
                <c:pt idx="9">
                  <c:v>2.4054036479439684</c:v>
                </c:pt>
                <c:pt idx="10">
                  <c:v>3.1219760225739646</c:v>
                </c:pt>
                <c:pt idx="11">
                  <c:v>4.3763394747852171</c:v>
                </c:pt>
                <c:pt idx="12">
                  <c:v>5.9676761820994955</c:v>
                </c:pt>
                <c:pt idx="13">
                  <c:v>8.4085133333203146</c:v>
                </c:pt>
                <c:pt idx="14">
                  <c:v>11.409961068441325</c:v>
                </c:pt>
                <c:pt idx="15">
                  <c:v>16.987746620315495</c:v>
                </c:pt>
                <c:pt idx="16">
                  <c:v>24.712122825528514</c:v>
                </c:pt>
                <c:pt idx="17">
                  <c:v>32.195282474615269</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20-8D31-47DB-8492-4B8FC7010147}"/>
            </c:ext>
          </c:extLst>
        </c:ser>
        <c:ser>
          <c:idx val="4"/>
          <c:order val="5"/>
          <c:tx>
            <c:v>U.S. average wash</c:v>
          </c:tx>
          <c:spPr>
            <a:ln w="25400">
              <a:noFill/>
              <a:prstDash val="dash"/>
            </a:ln>
          </c:spPr>
          <c:marker>
            <c:symbol val="none"/>
          </c:marker>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version'!$DL$4:$DL$27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extLst>
            <c:ext xmlns:c16="http://schemas.microsoft.com/office/drawing/2014/chart" uri="{C3380CC4-5D6E-409C-BE32-E72D297353CC}">
              <c16:uniqueId val="{00000021-8D31-47DB-8492-4B8FC7010147}"/>
            </c:ext>
          </c:extLst>
        </c:ser>
        <c:ser>
          <c:idx val="5"/>
          <c:order val="6"/>
          <c:tx>
            <c:v>Treatment &amp; efficacy</c:v>
          </c:tx>
          <c:spPr>
            <a:ln>
              <a:noFill/>
            </a:ln>
          </c:spPr>
          <c:marker>
            <c:symbol val="triangle"/>
            <c:size val="16"/>
            <c:spPr>
              <a:solidFill>
                <a:schemeClr val="tx1"/>
              </a:solidFill>
              <a:ln>
                <a:noFill/>
              </a:ln>
            </c:spPr>
          </c:marker>
          <c:dPt>
            <c:idx val="24"/>
            <c:marker>
              <c:symbol val="none"/>
            </c:marker>
            <c:bubble3D val="0"/>
            <c:extLst>
              <c:ext xmlns:c16="http://schemas.microsoft.com/office/drawing/2014/chart" uri="{C3380CC4-5D6E-409C-BE32-E72D297353CC}">
                <c16:uniqueId val="{00000022-8D31-47DB-8492-4B8FC7010147}"/>
              </c:ext>
            </c:extLst>
          </c:dPt>
          <c:dLbls>
            <c:dLbl>
              <c:idx val="24"/>
              <c:delete val="1"/>
              <c:extLst>
                <c:ext xmlns:c15="http://schemas.microsoft.com/office/drawing/2012/chart" uri="{CE6537A1-D6FC-4f65-9D91-7224C49458BB}"/>
                <c:ext xmlns:c16="http://schemas.microsoft.com/office/drawing/2014/chart" uri="{C3380CC4-5D6E-409C-BE32-E72D297353CC}">
                  <c16:uniqueId val="{00000022-8D31-47DB-8492-4B8FC7010147}"/>
                </c:ext>
              </c:extLst>
            </c:dLbl>
            <c:spPr>
              <a:noFill/>
              <a:ln>
                <a:noFill/>
              </a:ln>
              <a:effectLst/>
            </c:spPr>
            <c:txPr>
              <a:bodyPr/>
              <a:lstStyle/>
              <a:p>
                <a:pPr>
                  <a:defRPr sz="12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version'!$T$4:$T$28</c:f>
              <c:numCache>
                <c:formatCode>0%</c:formatCode>
                <c:ptCount val="25"/>
                <c:pt idx="24" formatCode="General">
                  <c:v>0</c:v>
                </c:pt>
              </c:numCache>
            </c:numRef>
          </c:val>
          <c:smooth val="0"/>
          <c:extLst>
            <c:ext xmlns:c16="http://schemas.microsoft.com/office/drawing/2014/chart" uri="{C3380CC4-5D6E-409C-BE32-E72D297353CC}">
              <c16:uniqueId val="{00000023-8D31-47DB-8492-4B8FC7010147}"/>
            </c:ext>
          </c:extLst>
        </c:ser>
        <c:ser>
          <c:idx val="8"/>
          <c:order val="8"/>
          <c:tx>
            <c:v>r value</c:v>
          </c:tx>
          <c:cat>
            <c:numRef>
              <c:f>'Backup version'!$AJ$4:$AJ$28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'Backup version'!$R$24</c:f>
              <c:numCache>
                <c:formatCode>0.000</c:formatCode>
                <c:ptCount val="1"/>
                <c:pt idx="0">
                  <c:v>2.1265018791115628E-2</c:v>
                </c:pt>
              </c:numCache>
            </c:numRef>
          </c:val>
          <c:smooth val="0"/>
          <c:extLst>
            <c:ext xmlns:c16="http://schemas.microsoft.com/office/drawing/2014/chart" uri="{C3380CC4-5D6E-409C-BE32-E72D297353CC}">
              <c16:uniqueId val="{00000024-8D31-47DB-8492-4B8FC7010147}"/>
            </c:ext>
          </c:extLst>
        </c:ser>
        <c:dLbls>
          <c:showLegendKey val="0"/>
          <c:showVal val="0"/>
          <c:showCatName val="0"/>
          <c:showSerName val="0"/>
          <c:showPercent val="0"/>
          <c:showBubbleSize val="0"/>
        </c:dLbls>
        <c:marker val="1"/>
        <c:smooth val="0"/>
        <c:axId val="322553728"/>
        <c:axId val="322551808"/>
      </c:lineChart>
      <c:dateAx>
        <c:axId val="322544000"/>
        <c:scaling>
          <c:orientation val="minMax"/>
        </c:scaling>
        <c:delete val="0"/>
        <c:axPos val="b"/>
        <c:numFmt formatCode="[$-409]d\-mmm;@" sourceLinked="1"/>
        <c:majorTickMark val="out"/>
        <c:minorTickMark val="none"/>
        <c:tickLblPos val="nextTo"/>
        <c:crossAx val="322545536"/>
        <c:crosses val="autoZero"/>
        <c:auto val="1"/>
        <c:lblOffset val="100"/>
        <c:baseTimeUnit val="days"/>
        <c:majorUnit val="1"/>
        <c:majorTimeUnit val="months"/>
        <c:minorUnit val="1"/>
        <c:minorTimeUnit val="months"/>
      </c:dateAx>
      <c:valAx>
        <c:axId val="322545536"/>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6E-2"/>
              <c:y val="2.1617088089280978E-2"/>
            </c:manualLayout>
          </c:layout>
          <c:overlay val="0"/>
        </c:title>
        <c:numFmt formatCode="#,##0" sourceLinked="0"/>
        <c:majorTickMark val="out"/>
        <c:minorTickMark val="none"/>
        <c:tickLblPos val="nextTo"/>
        <c:txPr>
          <a:bodyPr/>
          <a:lstStyle/>
          <a:p>
            <a:pPr>
              <a:defRPr sz="800"/>
            </a:pPr>
            <a:endParaRPr lang="en-US"/>
          </a:p>
        </c:txPr>
        <c:crossAx val="322544000"/>
        <c:crossesAt val="40544"/>
        <c:crossBetween val="midCat"/>
      </c:valAx>
      <c:valAx>
        <c:axId val="322551808"/>
        <c:scaling>
          <c:orientation val="minMax"/>
          <c:max val="6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33"/>
              <c:y val="0.16810172357821784"/>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22553728"/>
        <c:crosses val="max"/>
        <c:crossBetween val="between"/>
      </c:valAx>
      <c:dateAx>
        <c:axId val="322553728"/>
        <c:scaling>
          <c:orientation val="minMax"/>
        </c:scaling>
        <c:delete val="1"/>
        <c:axPos val="b"/>
        <c:numFmt formatCode="[$-409]d\-mmm;@" sourceLinked="1"/>
        <c:majorTickMark val="out"/>
        <c:minorTickMark val="none"/>
        <c:tickLblPos val="nextTo"/>
        <c:crossAx val="32255180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1"/>
          <c:y val="5.0022794769701409E-2"/>
          <c:w val="0.2484079129035453"/>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05"/>
                  <c:y val="-0.38620152045027067"/>
                </c:manualLayout>
              </c:layout>
              <c:numFmt formatCode="#,##0.0000" sourceLinked="0"/>
            </c:trendlineLbl>
          </c:trendline>
          <c:xVal>
            <c:numRef>
              <c:f>'Backup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'Backup version'!$AW$88:$AW$106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extLst>
            <c:ext xmlns:c16="http://schemas.microsoft.com/office/drawing/2014/chart" uri="{C3380CC4-5D6E-409C-BE32-E72D297353CC}">
              <c16:uniqueId val="{00000001-3461-4508-9D72-3CD6C227C10D}"/>
            </c:ext>
          </c:extLst>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18"/>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'Backup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'Backup version'!$AY$88:$AY$106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extLst>
            <c:ext xmlns:c16="http://schemas.microsoft.com/office/drawing/2014/chart" uri="{C3380CC4-5D6E-409C-BE32-E72D297353CC}">
              <c16:uniqueId val="{00000003-3461-4508-9D72-3CD6C227C10D}"/>
            </c:ext>
          </c:extLst>
        </c:ser>
        <c:ser>
          <c:idx val="2"/>
          <c:order val="2"/>
          <c:tx>
            <c:v>Guesstimates</c:v>
          </c:tx>
          <c:spPr>
            <a:ln w="28575">
              <a:noFill/>
            </a:ln>
          </c:spPr>
          <c:marker>
            <c:symbol val="triangle"/>
            <c:size val="7"/>
            <c:spPr>
              <a:solidFill>
                <a:srgbClr val="FF0000"/>
              </a:solidFill>
            </c:spPr>
          </c:marker>
          <c:xVal>
            <c:numRef>
              <c:f>'Backup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'Backup version'!$AT$88:$AT$106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extLst>
            <c:ext xmlns:c16="http://schemas.microsoft.com/office/drawing/2014/chart" uri="{C3380CC4-5D6E-409C-BE32-E72D297353CC}">
              <c16:uniqueId val="{00000004-3461-4508-9D72-3CD6C227C10D}"/>
            </c:ext>
          </c:extLst>
        </c:ser>
        <c:dLbls>
          <c:showLegendKey val="0"/>
          <c:showVal val="0"/>
          <c:showCatName val="0"/>
          <c:showSerName val="0"/>
          <c:showPercent val="0"/>
          <c:showBubbleSize val="0"/>
        </c:dLbls>
        <c:axId val="322939136"/>
        <c:axId val="322949888"/>
      </c:scatterChart>
      <c:valAx>
        <c:axId val="322939136"/>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322949888"/>
        <c:crosses val="autoZero"/>
        <c:crossBetween val="midCat"/>
      </c:valAx>
      <c:valAx>
        <c:axId val="322949888"/>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322939136"/>
        <c:crosses val="autoZero"/>
        <c:crossBetween val="midCat"/>
      </c:valAx>
    </c:plotArea>
    <c:legend>
      <c:legendPos val="r"/>
      <c:overlay val="0"/>
    </c:legend>
    <c:plotVisOnly val="1"/>
    <c:dispBlanksAs val="span"/>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05"/>
                  <c:y val="-0.38620152045027067"/>
                </c:manualLayout>
              </c:layout>
              <c:numFmt formatCode="#,##0.0000" sourceLinked="0"/>
            </c:trendlineLbl>
          </c:trendline>
          <c:xVal>
            <c:numRef>
              <c:f>'Current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version'!$AW$88:$AW$106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extLst>
            <c:ext xmlns:c16="http://schemas.microsoft.com/office/drawing/2014/chart" uri="{C3380CC4-5D6E-409C-BE32-E72D297353CC}">
              <c16:uniqueId val="{00000001-8C3F-41EF-9ABB-180B9514DBCA}"/>
            </c:ext>
          </c:extLst>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18"/>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version'!$AY$88:$AY$106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extLst>
            <c:ext xmlns:c16="http://schemas.microsoft.com/office/drawing/2014/chart" uri="{C3380CC4-5D6E-409C-BE32-E72D297353CC}">
              <c16:uniqueId val="{00000003-8C3F-41EF-9ABB-180B9514DBCA}"/>
            </c:ext>
          </c:extLst>
        </c:ser>
        <c:ser>
          <c:idx val="2"/>
          <c:order val="2"/>
          <c:tx>
            <c:v>Guesstimates</c:v>
          </c:tx>
          <c:spPr>
            <a:ln w="28575">
              <a:noFill/>
            </a:ln>
          </c:spPr>
          <c:marker>
            <c:symbol val="triangle"/>
            <c:size val="7"/>
            <c:spPr>
              <a:solidFill>
                <a:srgbClr val="FF0000"/>
              </a:solidFill>
            </c:spPr>
          </c:marker>
          <c:xVal>
            <c:numRef>
              <c:f>'Current version'!$AV$88:$AV$106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version'!$AT$88:$AT$106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extLst>
            <c:ext xmlns:c16="http://schemas.microsoft.com/office/drawing/2014/chart" uri="{C3380CC4-5D6E-409C-BE32-E72D297353CC}">
              <c16:uniqueId val="{00000004-8C3F-41EF-9ABB-180B9514DBCA}"/>
            </c:ext>
          </c:extLst>
        </c:ser>
        <c:dLbls>
          <c:showLegendKey val="0"/>
          <c:showVal val="0"/>
          <c:showCatName val="0"/>
          <c:showSerName val="0"/>
          <c:showPercent val="0"/>
          <c:showBubbleSize val="0"/>
        </c:dLbls>
        <c:axId val="296337792"/>
        <c:axId val="296340096"/>
      </c:scatterChart>
      <c:valAx>
        <c:axId val="296337792"/>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96340096"/>
        <c:crosses val="autoZero"/>
        <c:crossBetween val="midCat"/>
      </c:valAx>
      <c:valAx>
        <c:axId val="296340096"/>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96337792"/>
        <c:crosses val="autoZero"/>
        <c:crossBetween val="midCat"/>
      </c:valAx>
    </c:plotArea>
    <c:legend>
      <c:legendPos val="r"/>
      <c:overlay val="0"/>
    </c:legend>
    <c:plotVisOnly val="1"/>
    <c:dispBlanksAs val="span"/>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extLst>
            <c:ext xmlns:c16="http://schemas.microsoft.com/office/drawing/2014/chart" uri="{C3380CC4-5D6E-409C-BE32-E72D297353CC}">
              <c16:uniqueId val="{00000000-4199-4973-8974-895FB6B67B7A}"/>
            </c:ext>
          </c:extLst>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Colony!$M$31:$M$54</c:f>
              <c:numCache>
                <c:formatCode>General</c:formatCode>
                <c:ptCount val="24"/>
                <c:pt idx="0">
                  <c:v>0</c:v>
                </c:pt>
                <c:pt idx="1">
                  <c:v>1125</c:v>
                </c:pt>
                <c:pt idx="2">
                  <c:v>2250</c:v>
                </c:pt>
                <c:pt idx="3">
                  <c:v>2250</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extLst>
            <c:ext xmlns:c16="http://schemas.microsoft.com/office/drawing/2014/chart" uri="{C3380CC4-5D6E-409C-BE32-E72D297353CC}">
              <c16:uniqueId val="{00000001-4199-4973-8974-895FB6B67B7A}"/>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4199-4973-8974-895FB6B67B7A}"/>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3-4199-4973-8974-895FB6B67B7A}"/>
            </c:ext>
          </c:extLst>
        </c:ser>
        <c:dLbls>
          <c:showLegendKey val="0"/>
          <c:showVal val="0"/>
          <c:showCatName val="0"/>
          <c:showSerName val="0"/>
          <c:showPercent val="0"/>
          <c:showBubbleSize val="0"/>
        </c:dLbls>
        <c:marker val="1"/>
        <c:smooth val="0"/>
        <c:axId val="296559744"/>
        <c:axId val="296561280"/>
      </c:lineChart>
      <c:dateAx>
        <c:axId val="296559744"/>
        <c:scaling>
          <c:orientation val="minMax"/>
        </c:scaling>
        <c:delete val="0"/>
        <c:axPos val="b"/>
        <c:numFmt formatCode="[$-409]d\-mmm;@" sourceLinked="1"/>
        <c:majorTickMark val="cross"/>
        <c:minorTickMark val="none"/>
        <c:tickLblPos val="nextTo"/>
        <c:txPr>
          <a:bodyPr/>
          <a:lstStyle/>
          <a:p>
            <a:pPr>
              <a:defRPr b="1"/>
            </a:pPr>
            <a:endParaRPr lang="en-US"/>
          </a:p>
        </c:txPr>
        <c:crossAx val="296561280"/>
        <c:crosses val="autoZero"/>
        <c:auto val="1"/>
        <c:lblOffset val="100"/>
        <c:baseTimeUnit val="days"/>
      </c:dateAx>
      <c:valAx>
        <c:axId val="29656128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6559744"/>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2931961756200223"/>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extLst>
            <c:ext xmlns:c16="http://schemas.microsoft.com/office/drawing/2014/chart" uri="{C3380CC4-5D6E-409C-BE32-E72D297353CC}">
              <c16:uniqueId val="{00000000-16C3-42F4-A5DD-968EEA1CB0A5}"/>
            </c:ext>
          </c:extLst>
        </c:ser>
        <c:ser>
          <c:idx val="2"/>
          <c:order val="1"/>
          <c:tx>
            <c:v>Total brood</c:v>
          </c:tx>
          <c:spPr>
            <a:ln w="38100">
              <a:solidFill>
                <a:schemeClr val="accent6">
                  <a:lumMod val="50000"/>
                </a:schemeClr>
              </a:solidFill>
              <a:prstDash val="sysDot"/>
            </a:ln>
          </c:spPr>
          <c:marker>
            <c:symbol val="none"/>
          </c:marker>
          <c:cat>
            <c:numRef>
              <c:f>Colony!$E$171:$E$194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extLst>
            <c:ext xmlns:c16="http://schemas.microsoft.com/office/drawing/2014/chart" uri="{C3380CC4-5D6E-409C-BE32-E72D297353CC}">
              <c16:uniqueId val="{00000001-16C3-42F4-A5DD-968EEA1CB0A5}"/>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Colony!$C$171:$C$194</c:f>
              <c:numCache>
                <c:formatCode>General</c:formatCode>
                <c:ptCount val="24"/>
                <c:pt idx="0">
                  <c:v>1</c:v>
                </c:pt>
                <c:pt idx="1">
                  <c:v>1</c:v>
                </c:pt>
                <c:pt idx="2">
                  <c:v>1</c:v>
                </c:pt>
                <c:pt idx="3">
                  <c:v>1</c:v>
                </c:pt>
                <c:pt idx="4">
                  <c:v>1</c:v>
                </c:pt>
                <c:pt idx="20">
                  <c:v>1</c:v>
                </c:pt>
                <c:pt idx="21">
                  <c:v>1</c:v>
                </c:pt>
                <c:pt idx="22">
                  <c:v>1</c:v>
                </c:pt>
                <c:pt idx="23">
                  <c:v>1</c:v>
                </c:pt>
              </c:numCache>
            </c:numRef>
          </c:val>
          <c:smooth val="0"/>
          <c:extLst>
            <c:ext xmlns:c16="http://schemas.microsoft.com/office/drawing/2014/chart" uri="{C3380CC4-5D6E-409C-BE32-E72D297353CC}">
              <c16:uniqueId val="{00000002-16C3-42F4-A5DD-968EEA1CB0A5}"/>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extLst>
            <c:ext xmlns:c16="http://schemas.microsoft.com/office/drawing/2014/chart" uri="{C3380CC4-5D6E-409C-BE32-E72D297353CC}">
              <c16:uniqueId val="{00000003-16C3-42F4-A5DD-968EEA1CB0A5}"/>
            </c:ext>
          </c:extLst>
        </c:ser>
        <c:dLbls>
          <c:showLegendKey val="0"/>
          <c:showVal val="0"/>
          <c:showCatName val="0"/>
          <c:showSerName val="0"/>
          <c:showPercent val="0"/>
          <c:showBubbleSize val="0"/>
        </c:dLbls>
        <c:marker val="1"/>
        <c:smooth val="0"/>
        <c:axId val="296600704"/>
        <c:axId val="296602240"/>
      </c:lineChart>
      <c:dateAx>
        <c:axId val="296600704"/>
        <c:scaling>
          <c:orientation val="minMax"/>
        </c:scaling>
        <c:delete val="0"/>
        <c:axPos val="b"/>
        <c:numFmt formatCode="[$-409]d\-mmm;@" sourceLinked="1"/>
        <c:majorTickMark val="cross"/>
        <c:minorTickMark val="none"/>
        <c:tickLblPos val="nextTo"/>
        <c:txPr>
          <a:bodyPr/>
          <a:lstStyle/>
          <a:p>
            <a:pPr>
              <a:defRPr b="1"/>
            </a:pPr>
            <a:endParaRPr lang="en-US"/>
          </a:p>
        </c:txPr>
        <c:crossAx val="296602240"/>
        <c:crosses val="autoZero"/>
        <c:auto val="1"/>
        <c:lblOffset val="100"/>
        <c:baseTimeUnit val="days"/>
      </c:dateAx>
      <c:valAx>
        <c:axId val="29660224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6600704"/>
        <c:crosses val="autoZero"/>
        <c:crossBetween val="between"/>
      </c:valAx>
    </c:plotArea>
    <c:legend>
      <c:legendPos val="r"/>
      <c:layout>
        <c:manualLayout>
          <c:xMode val="edge"/>
          <c:yMode val="edge"/>
          <c:x val="0.12641256799601103"/>
          <c:y val="7.737317450703278E-2"/>
          <c:w val="0.23229376633511895"/>
          <c:h val="0.3780400010974238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1E-2"/>
          <c:w val="0.77464173422335081"/>
          <c:h val="0.86189516618122008"/>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extLst>
            <c:ext xmlns:c16="http://schemas.microsoft.com/office/drawing/2014/chart" uri="{C3380CC4-5D6E-409C-BE32-E72D297353CC}">
              <c16:uniqueId val="{00000000-0FE4-46A0-9D90-89208993112F}"/>
            </c:ext>
          </c:extLst>
        </c:ser>
        <c:ser>
          <c:idx val="2"/>
          <c:order val="1"/>
          <c:tx>
            <c:v>Total brood</c:v>
          </c:tx>
          <c:spPr>
            <a:ln w="38100">
              <a:solidFill>
                <a:schemeClr val="accent6">
                  <a:lumMod val="50000"/>
                </a:schemeClr>
              </a:solidFill>
              <a:prstDash val="sysDot"/>
            </a:ln>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Colony!$M$199:$M$222</c:f>
              <c:numCache>
                <c:formatCode>General</c:formatCode>
                <c:ptCount val="24"/>
                <c:pt idx="0">
                  <c:v>2250</c:v>
                </c:pt>
                <c:pt idx="1">
                  <c:v>13500</c:v>
                </c:pt>
                <c:pt idx="2">
                  <c:v>24750</c:v>
                </c:pt>
                <c:pt idx="3">
                  <c:v>31500</c:v>
                </c:pt>
                <c:pt idx="4">
                  <c:v>36000</c:v>
                </c:pt>
                <c:pt idx="5">
                  <c:v>45000</c:v>
                </c:pt>
                <c:pt idx="6">
                  <c:v>13500</c:v>
                </c:pt>
                <c:pt idx="7">
                  <c:v>13500</c:v>
                </c:pt>
                <c:pt idx="8">
                  <c:v>18000</c:v>
                </c:pt>
                <c:pt idx="9">
                  <c:v>22500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extLst>
            <c:ext xmlns:c16="http://schemas.microsoft.com/office/drawing/2014/chart" uri="{C3380CC4-5D6E-409C-BE32-E72D297353CC}">
              <c16:uniqueId val="{00000001-0FE4-46A0-9D90-89208993112F}"/>
            </c:ext>
          </c:extLst>
        </c:ser>
        <c:ser>
          <c:idx val="0"/>
          <c:order val="2"/>
          <c:tx>
            <c:v>Cold temp</c:v>
          </c:tx>
          <c:spPr>
            <a:ln w="127000"/>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Colony!$C$199:$C$222</c:f>
              <c:numCache>
                <c:formatCode>General</c:formatCode>
                <c:ptCount val="24"/>
                <c:pt idx="0">
                  <c:v>1</c:v>
                </c:pt>
                <c:pt idx="1">
                  <c:v>1</c:v>
                </c:pt>
                <c:pt idx="2">
                  <c:v>1</c:v>
                </c:pt>
                <c:pt idx="3">
                  <c:v>1</c:v>
                </c:pt>
                <c:pt idx="4">
                  <c:v>1</c:v>
                </c:pt>
                <c:pt idx="20">
                  <c:v>1</c:v>
                </c:pt>
                <c:pt idx="21">
                  <c:v>1</c:v>
                </c:pt>
                <c:pt idx="22">
                  <c:v>1</c:v>
                </c:pt>
                <c:pt idx="23">
                  <c:v>1</c:v>
                </c:pt>
              </c:numCache>
            </c:numRef>
          </c:val>
          <c:smooth val="0"/>
          <c:extLst>
            <c:ext xmlns:c16="http://schemas.microsoft.com/office/drawing/2014/chart" uri="{C3380CC4-5D6E-409C-BE32-E72D297353CC}">
              <c16:uniqueId val="{00000002-0FE4-46A0-9D90-89208993112F}"/>
            </c:ext>
          </c:extLst>
        </c:ser>
        <c:ser>
          <c:idx val="4"/>
          <c:order val="3"/>
          <c:tx>
            <c:v>Pollen flow</c:v>
          </c:tx>
          <c:spPr>
            <a:ln w="127000">
              <a:solidFill>
                <a:srgbClr val="FFC000"/>
              </a:solidFill>
            </a:ln>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extLst>
            <c:ext xmlns:c16="http://schemas.microsoft.com/office/drawing/2014/chart" uri="{C3380CC4-5D6E-409C-BE32-E72D297353CC}">
              <c16:uniqueId val="{00000003-0FE4-46A0-9D90-89208993112F}"/>
            </c:ext>
          </c:extLst>
        </c:ser>
        <c:dLbls>
          <c:showLegendKey val="0"/>
          <c:showVal val="0"/>
          <c:showCatName val="0"/>
          <c:showSerName val="0"/>
          <c:showPercent val="0"/>
          <c:showBubbleSize val="0"/>
        </c:dLbls>
        <c:marker val="1"/>
        <c:smooth val="0"/>
        <c:axId val="296633472"/>
        <c:axId val="296635008"/>
      </c:lineChart>
      <c:dateAx>
        <c:axId val="296633472"/>
        <c:scaling>
          <c:orientation val="minMax"/>
        </c:scaling>
        <c:delete val="0"/>
        <c:axPos val="b"/>
        <c:numFmt formatCode="[$-409]d\-mmm;@" sourceLinked="1"/>
        <c:majorTickMark val="cross"/>
        <c:minorTickMark val="none"/>
        <c:tickLblPos val="low"/>
        <c:txPr>
          <a:bodyPr/>
          <a:lstStyle/>
          <a:p>
            <a:pPr>
              <a:defRPr b="1"/>
            </a:pPr>
            <a:endParaRPr lang="en-US"/>
          </a:p>
        </c:txPr>
        <c:crossAx val="296635008"/>
        <c:crosses val="autoZero"/>
        <c:auto val="1"/>
        <c:lblOffset val="100"/>
        <c:baseTimeUnit val="days"/>
      </c:dateAx>
      <c:valAx>
        <c:axId val="29663500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6633472"/>
        <c:crosses val="autoZero"/>
        <c:crossBetween val="midCat"/>
      </c:valAx>
    </c:plotArea>
    <c:legend>
      <c:legendPos val="r"/>
      <c:layout>
        <c:manualLayout>
          <c:xMode val="edge"/>
          <c:yMode val="edge"/>
          <c:x val="0.12855046324991723"/>
          <c:y val="7.3954371088229359E-2"/>
          <c:w val="0.26044730356883677"/>
          <c:h val="0.4333091822988011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extLst>
            <c:ext xmlns:c16="http://schemas.microsoft.com/office/drawing/2014/chart" uri="{C3380CC4-5D6E-409C-BE32-E72D297353CC}">
              <c16:uniqueId val="{00000000-6D77-4F18-95F3-38311819E064}"/>
            </c:ext>
          </c:extLst>
        </c:ser>
        <c:ser>
          <c:idx val="2"/>
          <c:order val="1"/>
          <c:tx>
            <c:v>Total brood</c:v>
          </c:tx>
          <c:spPr>
            <a:ln w="38100">
              <a:solidFill>
                <a:schemeClr val="accent6">
                  <a:lumMod val="50000"/>
                </a:schemeClr>
              </a:solidFill>
              <a:prstDash val="sysDot"/>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extLst>
            <c:ext xmlns:c16="http://schemas.microsoft.com/office/drawing/2014/chart" uri="{C3380CC4-5D6E-409C-BE32-E72D297353CC}">
              <c16:uniqueId val="{00000001-6D77-4F18-95F3-38311819E064}"/>
            </c:ext>
          </c:extLst>
        </c:ser>
        <c:dLbls>
          <c:showLegendKey val="0"/>
          <c:showVal val="0"/>
          <c:showCatName val="0"/>
          <c:showSerName val="0"/>
          <c:showPercent val="0"/>
          <c:showBubbleSize val="0"/>
        </c:dLbls>
        <c:marker val="1"/>
        <c:smooth val="0"/>
        <c:axId val="296687104"/>
        <c:axId val="296688640"/>
      </c:lineChart>
      <c:lineChart>
        <c:grouping val="standard"/>
        <c:varyColors val="0"/>
        <c:ser>
          <c:idx val="0"/>
          <c:order val="2"/>
          <c:tx>
            <c:v>Cold temp</c:v>
          </c:tx>
          <c:spPr>
            <a:ln w="127000"/>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6D77-4F18-95F3-38311819E064}"/>
            </c:ext>
          </c:extLst>
        </c:ser>
        <c:ser>
          <c:idx val="4"/>
          <c:order val="3"/>
          <c:tx>
            <c:v>Pollen flow</c:v>
          </c:tx>
          <c:spPr>
            <a:ln w="127000">
              <a:solidFill>
                <a:srgbClr val="FFC000"/>
              </a:solidFill>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extLst>
            <c:ext xmlns:c16="http://schemas.microsoft.com/office/drawing/2014/chart" uri="{C3380CC4-5D6E-409C-BE32-E72D297353CC}">
              <c16:uniqueId val="{00000003-6D77-4F18-95F3-38311819E064}"/>
            </c:ext>
          </c:extLst>
        </c:ser>
        <c:ser>
          <c:idx val="5"/>
          <c:order val="4"/>
          <c:tx>
            <c:v>High temps</c:v>
          </c:tx>
          <c:spPr>
            <a:ln w="127000">
              <a:solidFill>
                <a:srgbClr val="FF0000"/>
              </a:solidFill>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Colony!$K$255:$K$278</c:f>
              <c:numCache>
                <c:formatCode>General</c:formatCode>
                <c:ptCount val="24"/>
              </c:numCache>
            </c:numRef>
          </c:val>
          <c:smooth val="0"/>
          <c:extLst>
            <c:ext xmlns:c16="http://schemas.microsoft.com/office/drawing/2014/chart" uri="{C3380CC4-5D6E-409C-BE32-E72D297353CC}">
              <c16:uniqueId val="{00000004-6D77-4F18-95F3-38311819E064}"/>
            </c:ext>
          </c:extLst>
        </c:ser>
        <c:ser>
          <c:idx val="6"/>
          <c:order val="5"/>
          <c:tx>
            <c:v>Drone brood</c:v>
          </c:tx>
          <c:spPr>
            <a:ln>
              <a:solidFill>
                <a:srgbClr val="C00000"/>
              </a:solidFill>
              <a:prstDash val="sysDot"/>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5-6D77-4F18-95F3-38311819E064}"/>
            </c:ext>
          </c:extLst>
        </c:ser>
        <c:dLbls>
          <c:showLegendKey val="0"/>
          <c:showVal val="0"/>
          <c:showCatName val="0"/>
          <c:showSerName val="0"/>
          <c:showPercent val="0"/>
          <c:showBubbleSize val="0"/>
        </c:dLbls>
        <c:marker val="1"/>
        <c:smooth val="0"/>
        <c:axId val="296733696"/>
        <c:axId val="296731776"/>
      </c:lineChart>
      <c:dateAx>
        <c:axId val="296687104"/>
        <c:scaling>
          <c:orientation val="minMax"/>
        </c:scaling>
        <c:delete val="0"/>
        <c:axPos val="b"/>
        <c:numFmt formatCode="[$-409]d\-mmm;@" sourceLinked="1"/>
        <c:majorTickMark val="cross"/>
        <c:minorTickMark val="none"/>
        <c:tickLblPos val="nextTo"/>
        <c:txPr>
          <a:bodyPr/>
          <a:lstStyle/>
          <a:p>
            <a:pPr>
              <a:defRPr b="1"/>
            </a:pPr>
            <a:endParaRPr lang="en-US"/>
          </a:p>
        </c:txPr>
        <c:crossAx val="296688640"/>
        <c:crosses val="autoZero"/>
        <c:auto val="1"/>
        <c:lblOffset val="100"/>
        <c:baseTimeUnit val="days"/>
      </c:dateAx>
      <c:valAx>
        <c:axId val="29668864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6687104"/>
        <c:crosses val="autoZero"/>
        <c:crossBetween val="between"/>
      </c:valAx>
      <c:valAx>
        <c:axId val="296731776"/>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296733696"/>
        <c:crosses val="max"/>
        <c:crossBetween val="between"/>
      </c:valAx>
      <c:dateAx>
        <c:axId val="296733696"/>
        <c:scaling>
          <c:orientation val="minMax"/>
        </c:scaling>
        <c:delete val="1"/>
        <c:axPos val="b"/>
        <c:numFmt formatCode="[$-409]d\-mmm;@" sourceLinked="1"/>
        <c:majorTickMark val="out"/>
        <c:minorTickMark val="none"/>
        <c:tickLblPos val="nextTo"/>
        <c:crossAx val="296731776"/>
        <c:crosses val="autoZero"/>
        <c:auto val="1"/>
        <c:lblOffset val="100"/>
        <c:baseTimeUnit val="days"/>
        <c:majorUnit val="1"/>
        <c:minorUnit val="1"/>
      </c:dateAx>
    </c:plotArea>
    <c:legend>
      <c:legendPos val="r"/>
      <c:layout>
        <c:manualLayout>
          <c:xMode val="edge"/>
          <c:yMode val="edge"/>
          <c:x val="0.12641256799601103"/>
          <c:y val="7.737317450703278E-2"/>
          <c:w val="0.26221505798886552"/>
          <c:h val="0.4136614173228346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extLst>
            <c:ext xmlns:c16="http://schemas.microsoft.com/office/drawing/2014/chart" uri="{C3380CC4-5D6E-409C-BE32-E72D297353CC}">
              <c16:uniqueId val="{00000000-D67F-4AC2-815C-321973A59D32}"/>
            </c:ext>
          </c:extLst>
        </c:ser>
        <c:ser>
          <c:idx val="2"/>
          <c:order val="1"/>
          <c:tx>
            <c:v>Total brood</c:v>
          </c:tx>
          <c:spPr>
            <a:ln w="38100">
              <a:solidFill>
                <a:schemeClr val="accent6">
                  <a:lumMod val="50000"/>
                </a:schemeClr>
              </a:solidFill>
              <a:prstDash val="sysDot"/>
            </a:ln>
          </c:spPr>
          <c:marker>
            <c:symbol val="none"/>
          </c:marker>
          <c:cat>
            <c:numRef>
              <c:f>Colony!$E$115:$E$138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extLst>
            <c:ext xmlns:c16="http://schemas.microsoft.com/office/drawing/2014/chart" uri="{C3380CC4-5D6E-409C-BE32-E72D297353CC}">
              <c16:uniqueId val="{00000001-D67F-4AC2-815C-321973A59D32}"/>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Colony!$C$115:$C$138</c:f>
              <c:numCache>
                <c:formatCode>General</c:formatCode>
                <c:ptCount val="24"/>
                <c:pt idx="15">
                  <c:v>1</c:v>
                </c:pt>
                <c:pt idx="16">
                  <c:v>1</c:v>
                </c:pt>
                <c:pt idx="17">
                  <c:v>1</c:v>
                </c:pt>
              </c:numCache>
            </c:numRef>
          </c:val>
          <c:smooth val="0"/>
          <c:extLst>
            <c:ext xmlns:c16="http://schemas.microsoft.com/office/drawing/2014/chart" uri="{C3380CC4-5D6E-409C-BE32-E72D297353CC}">
              <c16:uniqueId val="{00000002-D67F-4AC2-815C-321973A59D32}"/>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extLst>
            <c:ext xmlns:c16="http://schemas.microsoft.com/office/drawing/2014/chart" uri="{C3380CC4-5D6E-409C-BE32-E72D297353CC}">
              <c16:uniqueId val="{00000003-D67F-4AC2-815C-321973A59D32}"/>
            </c:ext>
          </c:extLst>
        </c:ser>
        <c:dLbls>
          <c:showLegendKey val="0"/>
          <c:showVal val="0"/>
          <c:showCatName val="0"/>
          <c:showSerName val="0"/>
          <c:showPercent val="0"/>
          <c:showBubbleSize val="0"/>
        </c:dLbls>
        <c:marker val="1"/>
        <c:smooth val="0"/>
        <c:axId val="297442688"/>
        <c:axId val="297448576"/>
      </c:lineChart>
      <c:dateAx>
        <c:axId val="297442688"/>
        <c:scaling>
          <c:orientation val="minMax"/>
        </c:scaling>
        <c:delete val="0"/>
        <c:axPos val="b"/>
        <c:numFmt formatCode="[$-409]d\-mmm;@" sourceLinked="1"/>
        <c:majorTickMark val="cross"/>
        <c:minorTickMark val="none"/>
        <c:tickLblPos val="nextTo"/>
        <c:txPr>
          <a:bodyPr/>
          <a:lstStyle/>
          <a:p>
            <a:pPr>
              <a:defRPr b="1"/>
            </a:pPr>
            <a:endParaRPr lang="en-US"/>
          </a:p>
        </c:txPr>
        <c:crossAx val="297448576"/>
        <c:crosses val="autoZero"/>
        <c:auto val="1"/>
        <c:lblOffset val="100"/>
        <c:baseTimeUnit val="days"/>
      </c:dateAx>
      <c:valAx>
        <c:axId val="29744857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7442688"/>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extLst>
            <c:ext xmlns:c16="http://schemas.microsoft.com/office/drawing/2014/chart" uri="{C3380CC4-5D6E-409C-BE32-E72D297353CC}">
              <c16:uniqueId val="{00000000-8F63-47EF-A1E4-22C3EBEB652E}"/>
            </c:ext>
          </c:extLst>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extLst>
            <c:ext xmlns:c16="http://schemas.microsoft.com/office/drawing/2014/chart" uri="{C3380CC4-5D6E-409C-BE32-E72D297353CC}">
              <c16:uniqueId val="{00000001-8F63-47EF-A1E4-22C3EBEB652E}"/>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8F63-47EF-A1E4-22C3EBEB652E}"/>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3-8F63-47EF-A1E4-22C3EBEB652E}"/>
            </c:ext>
          </c:extLst>
        </c:ser>
        <c:dLbls>
          <c:showLegendKey val="0"/>
          <c:showVal val="0"/>
          <c:showCatName val="0"/>
          <c:showSerName val="0"/>
          <c:showPercent val="0"/>
          <c:showBubbleSize val="0"/>
        </c:dLbls>
        <c:marker val="1"/>
        <c:smooth val="0"/>
        <c:axId val="303525248"/>
        <c:axId val="303527040"/>
      </c:lineChart>
      <c:dateAx>
        <c:axId val="303525248"/>
        <c:scaling>
          <c:orientation val="minMax"/>
        </c:scaling>
        <c:delete val="0"/>
        <c:axPos val="b"/>
        <c:numFmt formatCode="[$-409]d\-mmm;@" sourceLinked="1"/>
        <c:majorTickMark val="cross"/>
        <c:minorTickMark val="none"/>
        <c:tickLblPos val="nextTo"/>
        <c:txPr>
          <a:bodyPr/>
          <a:lstStyle/>
          <a:p>
            <a:pPr>
              <a:defRPr b="1"/>
            </a:pPr>
            <a:endParaRPr lang="en-US"/>
          </a:p>
        </c:txPr>
        <c:crossAx val="303527040"/>
        <c:crosses val="autoZero"/>
        <c:auto val="1"/>
        <c:lblOffset val="100"/>
        <c:baseTimeUnit val="days"/>
      </c:dateAx>
      <c:valAx>
        <c:axId val="30352704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303525248"/>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extLst>
            <c:ext xmlns:c16="http://schemas.microsoft.com/office/drawing/2014/chart" uri="{C3380CC4-5D6E-409C-BE32-E72D297353CC}">
              <c16:uniqueId val="{00000000-BB95-413E-90A8-FEA537475751}"/>
            </c:ext>
          </c:extLst>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extLst>
            <c:ext xmlns:c16="http://schemas.microsoft.com/office/drawing/2014/chart" uri="{C3380CC4-5D6E-409C-BE32-E72D297353CC}">
              <c16:uniqueId val="{00000001-BB95-413E-90A8-FEA537475751}"/>
            </c:ext>
          </c:extLst>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BB95-413E-90A8-FEA537475751}"/>
            </c:ext>
          </c:extLst>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3-BB95-413E-90A8-FEA537475751}"/>
            </c:ext>
          </c:extLst>
        </c:ser>
        <c:dLbls>
          <c:showLegendKey val="0"/>
          <c:showVal val="0"/>
          <c:showCatName val="0"/>
          <c:showSerName val="0"/>
          <c:showPercent val="0"/>
          <c:showBubbleSize val="0"/>
        </c:dLbls>
        <c:marker val="1"/>
        <c:smooth val="0"/>
        <c:axId val="315551104"/>
        <c:axId val="316916864"/>
      </c:lineChart>
      <c:dateAx>
        <c:axId val="315551104"/>
        <c:scaling>
          <c:orientation val="minMax"/>
        </c:scaling>
        <c:delete val="0"/>
        <c:axPos val="b"/>
        <c:numFmt formatCode="[$-409]d\-mmm;@" sourceLinked="1"/>
        <c:majorTickMark val="cross"/>
        <c:minorTickMark val="none"/>
        <c:tickLblPos val="nextTo"/>
        <c:txPr>
          <a:bodyPr/>
          <a:lstStyle/>
          <a:p>
            <a:pPr>
              <a:defRPr b="1"/>
            </a:pPr>
            <a:endParaRPr lang="en-US"/>
          </a:p>
        </c:txPr>
        <c:crossAx val="316916864"/>
        <c:crosses val="autoZero"/>
        <c:auto val="1"/>
        <c:lblOffset val="100"/>
        <c:baseTimeUnit val="days"/>
      </c:dateAx>
      <c:valAx>
        <c:axId val="31691686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315551104"/>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360189</xdr:colOff>
      <xdr:row>2</xdr:row>
      <xdr:rowOff>21875</xdr:rowOff>
    </xdr:from>
    <xdr:to>
      <xdr:col>18</xdr:col>
      <xdr:colOff>149577</xdr:colOff>
      <xdr:row>16</xdr:row>
      <xdr:rowOff>127000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99218</xdr:colOff>
      <xdr:row>60</xdr:row>
      <xdr:rowOff>37042</xdr:rowOff>
    </xdr:from>
    <xdr:to>
      <xdr:col>10</xdr:col>
      <xdr:colOff>269876</xdr:colOff>
      <xdr:row>79</xdr:row>
      <xdr:rowOff>148167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0</xdr:col>
      <xdr:colOff>303385</xdr:colOff>
      <xdr:row>15</xdr:row>
      <xdr:rowOff>69146</xdr:rowOff>
    </xdr:from>
    <xdr:to>
      <xdr:col>3</xdr:col>
      <xdr:colOff>141108</xdr:colOff>
      <xdr:row>16</xdr:row>
      <xdr:rowOff>151700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03385" y="3469571"/>
          <a:ext cx="1104548" cy="244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rgbClr val="FF0000"/>
              </a:solidFill>
            </a:rPr>
            <a:t>Starting mites</a:t>
          </a:r>
        </a:p>
      </xdr:txBody>
    </xdr:sp>
    <xdr:clientData/>
  </xdr:twoCellAnchor>
  <xdr:twoCellAnchor>
    <xdr:from>
      <xdr:col>105</xdr:col>
      <xdr:colOff>0</xdr:colOff>
      <xdr:row>59</xdr:row>
      <xdr:rowOff>63500</xdr:rowOff>
    </xdr:from>
    <xdr:to>
      <xdr:col>123</xdr:col>
      <xdr:colOff>592665</xdr:colOff>
      <xdr:row>66</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109</xdr:col>
      <xdr:colOff>42333</xdr:colOff>
      <xdr:row>64</xdr:row>
      <xdr:rowOff>116417</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15</xdr:col>
      <xdr:colOff>244112</xdr:colOff>
      <xdr:row>15</xdr:row>
      <xdr:rowOff>91022</xdr:rowOff>
    </xdr:from>
    <xdr:to>
      <xdr:col>19</xdr:col>
      <xdr:colOff>71247</xdr:colOff>
      <xdr:row>17</xdr:row>
      <xdr:rowOff>11298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425712" y="3491447"/>
          <a:ext cx="1046335" cy="244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rgbClr val="FF0000"/>
              </a:solidFill>
            </a:rPr>
            <a:t>Ending mites</a:t>
          </a:r>
        </a:p>
      </xdr:txBody>
    </xdr:sp>
    <xdr:clientData/>
  </xdr:twoCellAnchor>
  <xdr:twoCellAnchor>
    <xdr:from>
      <xdr:col>12</xdr:col>
      <xdr:colOff>0</xdr:colOff>
      <xdr:row>17</xdr:row>
      <xdr:rowOff>395111</xdr:rowOff>
    </xdr:from>
    <xdr:to>
      <xdr:col>16</xdr:col>
      <xdr:colOff>42333</xdr:colOff>
      <xdr:row>17</xdr:row>
      <xdr:rowOff>627944</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36</xdr:col>
      <xdr:colOff>539750</xdr:colOff>
      <xdr:row>78</xdr:row>
      <xdr:rowOff>74083</xdr:rowOff>
    </xdr:from>
    <xdr:to>
      <xdr:col>43</xdr:col>
      <xdr:colOff>31750</xdr:colOff>
      <xdr:row>80</xdr:row>
      <xdr:rowOff>84667</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190500</xdr:colOff>
      <xdr:row>86</xdr:row>
      <xdr:rowOff>83344</xdr:rowOff>
    </xdr:from>
    <xdr:to>
      <xdr:col>63</xdr:col>
      <xdr:colOff>451909</xdr:colOff>
      <xdr:row>106</xdr:row>
      <xdr:rowOff>98425</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232833</xdr:colOff>
      <xdr:row>29</xdr:row>
      <xdr:rowOff>70555</xdr:rowOff>
    </xdr:from>
    <xdr:to>
      <xdr:col>33</xdr:col>
      <xdr:colOff>272344</xdr:colOff>
      <xdr:row>46</xdr:row>
      <xdr:rowOff>143405</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967633" y="5718880"/>
          <a:ext cx="4840111" cy="2911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Basic assumptions, adjustments, and calculations for r values</a:t>
          </a:r>
          <a:r>
            <a:rPr lang="en-US"/>
            <a:t> </a:t>
          </a:r>
        </a:p>
        <a:p>
          <a:r>
            <a:rPr lang="en-US" sz="1100" b="0" i="1" u="none" strike="noStrike">
              <a:solidFill>
                <a:schemeClr val="dk1"/>
              </a:solidFill>
              <a:effectLst/>
              <a:latin typeface="+mn-lt"/>
              <a:ea typeface="+mn-ea"/>
              <a:cs typeface="+mn-cs"/>
            </a:rPr>
            <a:t>This</a:t>
          </a:r>
          <a:r>
            <a:rPr lang="en-US" sz="1100" b="0" i="1" u="none" strike="noStrike" baseline="0">
              <a:solidFill>
                <a:schemeClr val="dk1"/>
              </a:solidFill>
              <a:effectLst/>
              <a:latin typeface="+mn-lt"/>
              <a:ea typeface="+mn-ea"/>
              <a:cs typeface="+mn-cs"/>
            </a:rPr>
            <a:t> simple model assumes  that mites will be managed to never exceed  a level that affects the colony, so </a:t>
          </a:r>
          <a:r>
            <a:rPr lang="en-US" sz="1100" b="1" i="1" u="none" strike="noStrike" baseline="0">
              <a:solidFill>
                <a:schemeClr val="dk1"/>
              </a:solidFill>
              <a:effectLst/>
              <a:latin typeface="+mn-lt"/>
              <a:ea typeface="+mn-ea"/>
              <a:cs typeface="+mn-cs"/>
            </a:rPr>
            <a:t>any negative effect of high mite pops upon the colony is not reflected in this model.</a:t>
          </a:r>
          <a:r>
            <a:rPr lang="en-US" sz="1100" b="0" i="1"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The basic assumption of the model is that the rate of cell invasion by foundress mites is a</a:t>
          </a:r>
          <a:r>
            <a:rPr lang="en-US"/>
            <a:t> matter of chance, dependent upon the ratio of 5-day larvae to adult bees.  I used Willem Boot's data to arrive at a basic regression equation, and then drew most of my other variables from the excellent model proposed by Stephen Martin, but added mite immigration and exodus.  I further used data from Lloyd Harris and Katie Lee to come up with additional values, and then tested the model against my own field data, as well as that of that of Jeff Harris, Bob Danka (and all) from the Baton Rouge lab, Eva Frey, and a number of other researchers to whom I owe a great debt of gratitude.  Please refer to the Citations tab.  The root assumption is that foundress mites invade cells at the rate of y=-5*ln(x)+5,with x being the brood: adult bee ratio, and y equaling the number of days of phoresy.</a:t>
          </a:r>
          <a:endParaRPr lang="en-US" sz="1100"/>
        </a:p>
      </xdr:txBody>
    </xdr:sp>
    <xdr:clientData/>
  </xdr:twoCellAnchor>
  <xdr:twoCellAnchor>
    <xdr:from>
      <xdr:col>7</xdr:col>
      <xdr:colOff>201084</xdr:colOff>
      <xdr:row>2</xdr:row>
      <xdr:rowOff>148167</xdr:rowOff>
    </xdr:from>
    <xdr:to>
      <xdr:col>16</xdr:col>
      <xdr:colOff>42334</xdr:colOff>
      <xdr:row>2</xdr:row>
      <xdr:rowOff>645583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810934" y="472017"/>
          <a:ext cx="2717800"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Ver. 25</a:t>
          </a:r>
          <a:r>
            <a:rPr lang="en-US" sz="1100" baseline="0"/>
            <a:t> Aug</a:t>
          </a:r>
          <a:r>
            <a:rPr lang="en-US" sz="1100"/>
            <a:t>2018 </a:t>
          </a:r>
          <a:r>
            <a:rPr lang="en-US" sz="1100">
              <a:solidFill>
                <a:schemeClr val="dk1"/>
              </a:solidFill>
              <a:effectLst/>
              <a:latin typeface="+mn-lt"/>
              <a:ea typeface="+mn-ea"/>
              <a:cs typeface="+mn-cs"/>
            </a:rPr>
            <a:t>© ScientificBeekeeping.com</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Be sure to use</a:t>
          </a:r>
          <a:r>
            <a:rPr lang="en-US" sz="1100" baseline="0">
              <a:solidFill>
                <a:schemeClr val="dk1"/>
              </a:solidFill>
              <a:effectLst/>
              <a:latin typeface="+mn-lt"/>
              <a:ea typeface="+mn-ea"/>
              <a:cs typeface="+mn-cs"/>
            </a:rPr>
            <a:t> the latest version!</a:t>
          </a:r>
          <a:r>
            <a:rPr lang="en-US" sz="1100">
              <a:solidFill>
                <a:schemeClr val="dk1"/>
              </a:solidFill>
              <a:effectLst/>
              <a:latin typeface="+mn-lt"/>
              <a:ea typeface="+mn-ea"/>
              <a:cs typeface="+mn-cs"/>
            </a:rPr>
            <a:t>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360189</xdr:colOff>
      <xdr:row>2</xdr:row>
      <xdr:rowOff>21875</xdr:rowOff>
    </xdr:from>
    <xdr:to>
      <xdr:col>18</xdr:col>
      <xdr:colOff>149577</xdr:colOff>
      <xdr:row>16</xdr:row>
      <xdr:rowOff>127000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99218</xdr:colOff>
      <xdr:row>60</xdr:row>
      <xdr:rowOff>37042</xdr:rowOff>
    </xdr:from>
    <xdr:to>
      <xdr:col>10</xdr:col>
      <xdr:colOff>269876</xdr:colOff>
      <xdr:row>79</xdr:row>
      <xdr:rowOff>148167</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26368" y="108447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0</xdr:col>
      <xdr:colOff>303385</xdr:colOff>
      <xdr:row>15</xdr:row>
      <xdr:rowOff>69146</xdr:rowOff>
    </xdr:from>
    <xdr:to>
      <xdr:col>3</xdr:col>
      <xdr:colOff>141108</xdr:colOff>
      <xdr:row>16</xdr:row>
      <xdr:rowOff>151700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03385" y="3466396"/>
          <a:ext cx="1164873" cy="247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rgbClr val="FF0000"/>
              </a:solidFill>
            </a:rPr>
            <a:t>Starting mites</a:t>
          </a:r>
        </a:p>
      </xdr:txBody>
    </xdr:sp>
    <xdr:clientData/>
  </xdr:twoCellAnchor>
  <xdr:twoCellAnchor>
    <xdr:from>
      <xdr:col>105</xdr:col>
      <xdr:colOff>0</xdr:colOff>
      <xdr:row>59</xdr:row>
      <xdr:rowOff>63500</xdr:rowOff>
    </xdr:from>
    <xdr:to>
      <xdr:col>123</xdr:col>
      <xdr:colOff>592665</xdr:colOff>
      <xdr:row>66</xdr:row>
      <xdr:rowOff>31750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1799450" y="107061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109</xdr:col>
      <xdr:colOff>42333</xdr:colOff>
      <xdr:row>64</xdr:row>
      <xdr:rowOff>116417</xdr:rowOff>
    </xdr:from>
    <xdr:ext cx="184731" cy="264560"/>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769133" y="11578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15</xdr:col>
      <xdr:colOff>244112</xdr:colOff>
      <xdr:row>15</xdr:row>
      <xdr:rowOff>91022</xdr:rowOff>
    </xdr:from>
    <xdr:to>
      <xdr:col>19</xdr:col>
      <xdr:colOff>71247</xdr:colOff>
      <xdr:row>17</xdr:row>
      <xdr:rowOff>11298</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654312" y="3488272"/>
          <a:ext cx="1097135" cy="244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a:solidFill>
                <a:srgbClr val="FF0000"/>
              </a:solidFill>
            </a:rPr>
            <a:t>Ending mites</a:t>
          </a:r>
        </a:p>
      </xdr:txBody>
    </xdr:sp>
    <xdr:clientData/>
  </xdr:twoCellAnchor>
  <xdr:twoCellAnchor>
    <xdr:from>
      <xdr:col>12</xdr:col>
      <xdr:colOff>0</xdr:colOff>
      <xdr:row>17</xdr:row>
      <xdr:rowOff>395111</xdr:rowOff>
    </xdr:from>
    <xdr:to>
      <xdr:col>16</xdr:col>
      <xdr:colOff>42333</xdr:colOff>
      <xdr:row>17</xdr:row>
      <xdr:rowOff>627944</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4577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36</xdr:col>
      <xdr:colOff>539750</xdr:colOff>
      <xdr:row>78</xdr:row>
      <xdr:rowOff>74083</xdr:rowOff>
    </xdr:from>
    <xdr:to>
      <xdr:col>43</xdr:col>
      <xdr:colOff>31750</xdr:colOff>
      <xdr:row>80</xdr:row>
      <xdr:rowOff>84667</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flipH="1" flipV="1">
          <a:off x="19799300" y="138091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190500</xdr:colOff>
      <xdr:row>86</xdr:row>
      <xdr:rowOff>83344</xdr:rowOff>
    </xdr:from>
    <xdr:to>
      <xdr:col>63</xdr:col>
      <xdr:colOff>451909</xdr:colOff>
      <xdr:row>106</xdr:row>
      <xdr:rowOff>98425</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232833</xdr:colOff>
      <xdr:row>29</xdr:row>
      <xdr:rowOff>70555</xdr:rowOff>
    </xdr:from>
    <xdr:to>
      <xdr:col>33</xdr:col>
      <xdr:colOff>272344</xdr:colOff>
      <xdr:row>46</xdr:row>
      <xdr:rowOff>143405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12494683" y="5703005"/>
          <a:ext cx="5068711" cy="293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Basic assumptions, adjustments, and calculations for r values</a:t>
          </a:r>
          <a:r>
            <a:rPr lang="en-US"/>
            <a:t> </a:t>
          </a:r>
        </a:p>
        <a:p>
          <a:r>
            <a:rPr lang="en-US" sz="1100" b="0" i="1" u="none" strike="noStrike">
              <a:solidFill>
                <a:schemeClr val="dk1"/>
              </a:solidFill>
              <a:effectLst/>
              <a:latin typeface="+mn-lt"/>
              <a:ea typeface="+mn-ea"/>
              <a:cs typeface="+mn-cs"/>
            </a:rPr>
            <a:t>This</a:t>
          </a:r>
          <a:r>
            <a:rPr lang="en-US" sz="1100" b="0" i="1" u="none" strike="noStrike" baseline="0">
              <a:solidFill>
                <a:schemeClr val="dk1"/>
              </a:solidFill>
              <a:effectLst/>
              <a:latin typeface="+mn-lt"/>
              <a:ea typeface="+mn-ea"/>
              <a:cs typeface="+mn-cs"/>
            </a:rPr>
            <a:t> simple model assumes  that mites will be managed to never exceed  a level that affects the colony, so </a:t>
          </a:r>
          <a:r>
            <a:rPr lang="en-US" sz="1100" b="1" i="1" u="none" strike="noStrike" baseline="0">
              <a:solidFill>
                <a:schemeClr val="dk1"/>
              </a:solidFill>
              <a:effectLst/>
              <a:latin typeface="+mn-lt"/>
              <a:ea typeface="+mn-ea"/>
              <a:cs typeface="+mn-cs"/>
            </a:rPr>
            <a:t>any negative effect of high mite pops upon the colony is not reflected in this model.</a:t>
          </a:r>
          <a:r>
            <a:rPr lang="en-US" sz="1100" b="0" i="1"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The basic assumption of the model is that the rate of cell invasion by foundress mites is a</a:t>
          </a:r>
          <a:r>
            <a:rPr lang="en-US"/>
            <a:t> matter of chance, dependent upon the ratio of 5-day larvae to adult bees.  I used Willem Boot's data to arrive at a basic regression equation, and then drew most of my other variables from the excellent model proposed by Stephen Martin, but added mite immigration and exodus.  I further used data from Lloyd Harris and Katie Lee to come up with additional values, and then tested the model against my own field data, as well as that of that of Jeff Harris, Bob Danka (and all) from the Baton Rouge lab, Eva Frey, and a number of other researchers to whom I owe a great debt of gratitude.  Please refer to the Citations tab.  The root assumption is that foundress mites invade cells at the rate of y=-5*ln(x)+5,with x being the brood: adult bee ratio, and y equaling the number of days of phoresy.</a:t>
          </a:r>
          <a:endParaRPr lang="en-US" sz="1100"/>
        </a:p>
      </xdr:txBody>
    </xdr:sp>
    <xdr:clientData/>
  </xdr:twoCellAnchor>
  <xdr:twoCellAnchor>
    <xdr:from>
      <xdr:col>7</xdr:col>
      <xdr:colOff>201084</xdr:colOff>
      <xdr:row>2</xdr:row>
      <xdr:rowOff>148167</xdr:rowOff>
    </xdr:from>
    <xdr:to>
      <xdr:col>16</xdr:col>
      <xdr:colOff>42334</xdr:colOff>
      <xdr:row>2</xdr:row>
      <xdr:rowOff>645583</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2931584" y="472017"/>
          <a:ext cx="2838450"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Ver. 5</a:t>
          </a:r>
          <a:r>
            <a:rPr lang="en-US" sz="1100" baseline="0"/>
            <a:t> </a:t>
          </a:r>
          <a:r>
            <a:rPr lang="en-US" sz="1100"/>
            <a:t>Apr</a:t>
          </a:r>
          <a:r>
            <a:rPr lang="en-US" sz="1100" baseline="0"/>
            <a:t> </a:t>
          </a:r>
          <a:r>
            <a:rPr lang="en-US" sz="1100"/>
            <a:t>2018 </a:t>
          </a:r>
          <a:r>
            <a:rPr lang="en-US" sz="1100">
              <a:solidFill>
                <a:schemeClr val="dk1"/>
              </a:solidFill>
              <a:effectLst/>
              <a:latin typeface="+mn-lt"/>
              <a:ea typeface="+mn-ea"/>
              <a:cs typeface="+mn-cs"/>
            </a:rPr>
            <a:t>© ScientificBeekeeping.com</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Be sure to use</a:t>
          </a:r>
          <a:r>
            <a:rPr lang="en-US" sz="1100" baseline="0">
              <a:solidFill>
                <a:schemeClr val="dk1"/>
              </a:solidFill>
              <a:effectLst/>
              <a:latin typeface="+mn-lt"/>
              <a:ea typeface="+mn-ea"/>
              <a:cs typeface="+mn-cs"/>
            </a:rPr>
            <a:t> the latest version!</a:t>
          </a:r>
          <a:r>
            <a:rPr lang="en-US" sz="1100">
              <a:solidFill>
                <a:schemeClr val="dk1"/>
              </a:solidFill>
              <a:effectLst/>
              <a:latin typeface="+mn-lt"/>
              <a:ea typeface="+mn-ea"/>
              <a:cs typeface="+mn-cs"/>
            </a:rPr>
            <a:t> </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70254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1"/>
        <a:stretch>
          <a:fillRect/>
        </a:stretch>
      </xdr:blipFill>
      <xdr:spPr>
        <a:xfrm>
          <a:off x="120651" y="57150"/>
          <a:ext cx="5629274" cy="33087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200025</xdr:colOff>
      <xdr:row>9</xdr:row>
      <xdr:rowOff>28575</xdr:rowOff>
    </xdr:from>
    <xdr:to>
      <xdr:col>13</xdr:col>
      <xdr:colOff>504825</xdr:colOff>
      <xdr:row>32</xdr:row>
      <xdr:rowOff>28575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142873</xdr:rowOff>
    </xdr:from>
    <xdr:to>
      <xdr:col>15</xdr:col>
      <xdr:colOff>390525</xdr:colOff>
      <xdr:row>41</xdr:row>
      <xdr:rowOff>114299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09600" y="142873"/>
          <a:ext cx="8924925" cy="6610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a:extLst>
            <a:ext uri="{FF2B5EF4-FFF2-40B4-BE49-F238E27FC236}">
              <a16:creationId xmlns:a16="http://schemas.microsoft.com/office/drawing/2014/main" id="{00000000-0008-0000-0400-000006000000}"/>
            </a:ext>
          </a:extLst>
        </xdr:cNvPr>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l"/>
          <a:r>
            <a:rPr lang="en-US" sz="1100">
              <a:solidFill>
                <a:srgbClr val="0070C0"/>
              </a:solidFill>
            </a:rPr>
            <a:t>Faster increase</a:t>
          </a:r>
        </a:p>
      </xdr:txBody>
    </xdr:sp>
    <xdr:clientData/>
  </xdr:twoCellAnchor>
  <xdr:twoCellAnchor editAs="oneCell">
    <xdr:from>
      <xdr:col>7</xdr:col>
      <xdr:colOff>361950</xdr:colOff>
      <xdr:row>18</xdr:row>
      <xdr:rowOff>114300</xdr:rowOff>
    </xdr:from>
    <xdr:to>
      <xdr:col>8</xdr:col>
      <xdr:colOff>209550</xdr:colOff>
      <xdr:row>25</xdr:row>
      <xdr:rowOff>95250</xdr:rowOff>
    </xdr:to>
    <xdr:sp macro="" textlink="">
      <xdr:nvSpPr>
        <xdr:cNvPr id="7" name="Up Arrow 6">
          <a:extLst>
            <a:ext uri="{FF2B5EF4-FFF2-40B4-BE49-F238E27FC236}">
              <a16:creationId xmlns:a16="http://schemas.microsoft.com/office/drawing/2014/main" id="{00000000-0008-0000-0400-000007000000}"/>
            </a:ext>
          </a:extLst>
        </xdr:cNvPr>
        <xdr:cNvSpPr>
          <a:spLocks noChangeAspect="1"/>
        </xdr:cNvSpPr>
      </xdr:nvSpPr>
      <xdr:spPr>
        <a:xfrm rot="10800000">
          <a:off x="4629150" y="3028950"/>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l"/>
          <a:r>
            <a:rPr lang="en-US" sz="1100">
              <a:solidFill>
                <a:srgbClr val="0070C0"/>
              </a:solidFill>
            </a:rPr>
            <a:t>Faster 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a:extLst xmlns:a="http://schemas.openxmlformats.org/drawingml/2006/main">
            <a:ext uri="{FF2B5EF4-FFF2-40B4-BE49-F238E27FC236}">
              <a16:creationId xmlns:a16="http://schemas.microsoft.com/office/drawing/2014/main" id="{20531956-3781-4A49-940B-87544CA7B6C1}"/>
            </a:ext>
          </a:extLst>
        </cdr:cNvPr>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change</a:t>
          </a:r>
        </a:p>
      </cdr:txBody>
    </cdr:sp>
  </cdr:relSizeAnchor>
</c:userShapes>
</file>

<file path=xl/drawings/drawing8.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9.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E154"/>
  <sheetViews>
    <sheetView tabSelected="1" zoomScaleNormal="100" workbookViewId="0">
      <selection activeCell="T10" sqref="T10"/>
    </sheetView>
  </sheetViews>
  <sheetFormatPr defaultRowHeight="12.75" x14ac:dyDescent="0.2"/>
  <cols>
    <col min="1" max="1" width="5.7109375" customWidth="1"/>
    <col min="2" max="2" width="7.7109375" customWidth="1"/>
    <col min="3" max="4" width="5.5703125" customWidth="1"/>
    <col min="5" max="6" width="4.5703125" customWidth="1"/>
    <col min="7" max="7" width="5.42578125" customWidth="1"/>
    <col min="8" max="8" width="4.5703125" customWidth="1"/>
    <col min="9" max="10" width="5.5703125" customWidth="1"/>
    <col min="11" max="19" width="4.5703125" customWidth="1"/>
    <col min="20" max="20" width="12.5703125" customWidth="1"/>
    <col min="21" max="21" width="7.7109375" customWidth="1"/>
    <col min="22" max="22" width="8.5703125" customWidth="1"/>
    <col min="23" max="23" width="8.5703125" style="390" customWidth="1"/>
    <col min="24" max="24" width="8.5703125" customWidth="1"/>
    <col min="25" max="25" width="8.7109375" customWidth="1"/>
    <col min="26" max="26" width="12.5703125" customWidth="1"/>
    <col min="27" max="31" width="12.7109375" customWidth="1"/>
    <col min="32" max="33" width="10.5703125" customWidth="1"/>
    <col min="35" max="35" width="10.7109375" customWidth="1"/>
    <col min="37" max="37" width="8.5703125" customWidth="1"/>
    <col min="38" max="38" width="10.7109375" customWidth="1"/>
    <col min="40" max="40" width="10.7109375" customWidth="1"/>
    <col min="43" max="43" width="10.7109375" customWidth="1"/>
    <col min="44" max="44" width="8.7109375" style="258" customWidth="1"/>
    <col min="45" max="52" width="10.7109375" style="258" customWidth="1"/>
    <col min="53" max="53" width="11.7109375" style="258" customWidth="1"/>
    <col min="54" max="58" width="10.7109375" style="258" customWidth="1"/>
    <col min="59" max="69" width="10.7109375" customWidth="1"/>
    <col min="70" max="70" width="10.5703125" customWidth="1"/>
    <col min="71" max="71" width="9.7109375" customWidth="1"/>
    <col min="74" max="74" width="15" customWidth="1"/>
    <col min="75" max="75" width="11.5703125" bestFit="1" customWidth="1"/>
    <col min="76" max="77" width="10.7109375" customWidth="1"/>
    <col min="78" max="84" width="12.7109375" customWidth="1"/>
    <col min="85" max="85" width="15" customWidth="1"/>
    <col min="86" max="86" width="11.42578125" customWidth="1"/>
    <col min="87" max="87" width="9.7109375" customWidth="1"/>
    <col min="88" max="89" width="12.7109375" style="18" customWidth="1"/>
    <col min="90" max="90" width="15" customWidth="1"/>
    <col min="91" max="91" width="11.7109375" customWidth="1"/>
    <col min="92" max="94" width="10.7109375" customWidth="1"/>
    <col min="95" max="96" width="9.7109375" customWidth="1"/>
    <col min="97" max="97" width="10.7109375" customWidth="1"/>
    <col min="98" max="99" width="9.7109375" customWidth="1"/>
    <col min="100" max="100" width="10.7109375" customWidth="1"/>
    <col min="101" max="103" width="9.7109375" customWidth="1"/>
    <col min="104" max="104" width="12.7109375" customWidth="1"/>
    <col min="105" max="106" width="9.7109375" customWidth="1"/>
    <col min="107" max="109" width="10.7109375" customWidth="1"/>
  </cols>
  <sheetData>
    <row r="1" spans="1:135" x14ac:dyDescent="0.2">
      <c r="A1" s="419"/>
      <c r="B1" s="419"/>
      <c r="C1" s="420" t="s">
        <v>155</v>
      </c>
      <c r="D1" s="420"/>
      <c r="E1" s="420"/>
      <c r="F1" s="420"/>
      <c r="G1" s="420"/>
      <c r="H1" s="420"/>
      <c r="I1" s="420"/>
      <c r="J1" s="420"/>
      <c r="K1" s="420"/>
      <c r="L1" s="420"/>
      <c r="M1" s="420"/>
      <c r="N1" s="420"/>
      <c r="O1" s="420"/>
      <c r="P1" s="420"/>
      <c r="Q1" s="420"/>
      <c r="R1" s="420"/>
      <c r="S1" s="420"/>
      <c r="T1" t="s">
        <v>350</v>
      </c>
      <c r="X1" s="421" t="s">
        <v>302</v>
      </c>
      <c r="Y1" s="421"/>
      <c r="Z1" s="421"/>
      <c r="AA1" s="421"/>
      <c r="AB1" s="421"/>
      <c r="AJ1" s="413" t="s">
        <v>108</v>
      </c>
      <c r="AK1" s="413"/>
      <c r="AL1" s="413"/>
      <c r="AM1" s="413"/>
      <c r="AN1" s="413"/>
      <c r="AO1" s="414" t="s">
        <v>109</v>
      </c>
      <c r="AP1" s="414"/>
      <c r="AQ1" s="414"/>
      <c r="AR1" s="414"/>
      <c r="AS1" s="414"/>
      <c r="AT1" s="414"/>
      <c r="AU1" s="414"/>
      <c r="AV1" s="414"/>
      <c r="AW1" s="414"/>
      <c r="AX1" s="414"/>
      <c r="AY1"/>
      <c r="AZ1"/>
      <c r="BA1" s="113"/>
      <c r="BB1" s="118" t="s">
        <v>110</v>
      </c>
      <c r="BC1" s="94"/>
      <c r="BD1" s="115"/>
      <c r="BE1" s="115"/>
      <c r="BF1" s="115"/>
      <c r="BG1" s="113"/>
      <c r="BH1" s="117"/>
      <c r="BI1" s="113"/>
      <c r="BJ1" s="94"/>
      <c r="BK1" s="52"/>
      <c r="BL1" s="119" t="s">
        <v>111</v>
      </c>
      <c r="BM1" s="93"/>
      <c r="BN1" s="93"/>
      <c r="BO1" s="93"/>
      <c r="BP1" s="93"/>
      <c r="BQ1" s="93"/>
      <c r="BR1" s="93"/>
      <c r="BS1" s="116"/>
      <c r="BT1" s="93"/>
      <c r="BU1" s="93"/>
      <c r="BV1" s="139" t="s">
        <v>224</v>
      </c>
      <c r="BW1" s="415" t="s">
        <v>231</v>
      </c>
      <c r="BX1" s="415"/>
      <c r="BY1" s="390"/>
      <c r="BZ1" s="140" t="s">
        <v>151</v>
      </c>
      <c r="CA1" s="57"/>
      <c r="CB1" s="57"/>
      <c r="CC1" s="139" t="s">
        <v>152</v>
      </c>
      <c r="CE1" s="382" t="s">
        <v>153</v>
      </c>
      <c r="CF1" s="382" t="s">
        <v>153</v>
      </c>
      <c r="CG1" s="248" t="s">
        <v>152</v>
      </c>
      <c r="CH1" s="382" t="s">
        <v>153</v>
      </c>
      <c r="CI1" s="44"/>
      <c r="CJ1" s="57"/>
      <c r="CK1" s="382" t="s">
        <v>153</v>
      </c>
      <c r="CL1" s="140" t="s">
        <v>151</v>
      </c>
      <c r="CM1" s="140"/>
      <c r="CO1" s="422" t="s">
        <v>301</v>
      </c>
      <c r="CP1" s="422"/>
      <c r="CQ1" s="422"/>
      <c r="CU1" s="423" t="s">
        <v>226</v>
      </c>
      <c r="CV1" s="423"/>
      <c r="CW1" s="423"/>
      <c r="CX1" s="423"/>
      <c r="CY1" s="423"/>
      <c r="CZ1" s="423"/>
      <c r="DB1" s="424" t="s">
        <v>182</v>
      </c>
      <c r="DC1" s="424"/>
      <c r="DD1" s="424"/>
    </row>
    <row r="2" spans="1:135" s="151" customFormat="1" ht="12.75" customHeight="1" x14ac:dyDescent="0.2">
      <c r="B2" s="276" t="s">
        <v>356</v>
      </c>
      <c r="C2" s="276"/>
      <c r="D2" s="276"/>
      <c r="E2" s="276"/>
      <c r="F2" s="276"/>
      <c r="G2" s="276"/>
      <c r="H2" s="276"/>
      <c r="I2" s="276"/>
      <c r="J2" s="276"/>
      <c r="K2" s="276"/>
      <c r="L2" s="276"/>
      <c r="M2" s="276"/>
      <c r="N2" s="276"/>
      <c r="O2" s="276"/>
      <c r="P2" s="276"/>
      <c r="Q2" s="276"/>
      <c r="R2" s="276"/>
      <c r="S2" s="276"/>
      <c r="W2" s="384"/>
      <c r="Z2" s="384" t="s">
        <v>217</v>
      </c>
      <c r="AH2" s="272"/>
      <c r="AI2" s="272"/>
      <c r="AJ2" s="273" t="s">
        <v>238</v>
      </c>
      <c r="AK2" s="173"/>
      <c r="AL2" s="279" t="s">
        <v>217</v>
      </c>
      <c r="AM2" s="173"/>
      <c r="AN2" s="384" t="s">
        <v>217</v>
      </c>
      <c r="AO2" s="384"/>
      <c r="AP2" s="384"/>
      <c r="AQ2" s="384" t="s">
        <v>217</v>
      </c>
      <c r="AR2" s="384"/>
      <c r="AS2" s="384" t="s">
        <v>217</v>
      </c>
      <c r="AT2" s="384" t="s">
        <v>217</v>
      </c>
      <c r="AU2" s="279"/>
      <c r="AV2" s="384"/>
      <c r="AW2" s="384"/>
      <c r="AX2" s="384" t="s">
        <v>217</v>
      </c>
      <c r="AY2" s="173"/>
      <c r="AZ2" s="279" t="s">
        <v>217</v>
      </c>
      <c r="BA2" s="384"/>
      <c r="BB2" s="384"/>
      <c r="BC2" s="384"/>
      <c r="BD2" s="384"/>
      <c r="BE2" s="384" t="s">
        <v>348</v>
      </c>
      <c r="BF2" s="151" t="s">
        <v>348</v>
      </c>
      <c r="BG2" s="384" t="s">
        <v>217</v>
      </c>
      <c r="BH2" s="279" t="s">
        <v>217</v>
      </c>
      <c r="BI2" s="384"/>
      <c r="BJ2" s="384"/>
      <c r="BK2" s="384"/>
      <c r="BL2" s="384"/>
      <c r="BM2" s="384"/>
      <c r="BN2" s="384"/>
      <c r="BO2" s="384" t="s">
        <v>348</v>
      </c>
      <c r="BP2" s="151" t="s">
        <v>348</v>
      </c>
      <c r="BQ2" s="384"/>
      <c r="BR2" s="384"/>
      <c r="BS2" s="279" t="s">
        <v>217</v>
      </c>
      <c r="BT2" s="384"/>
      <c r="BU2" s="384"/>
      <c r="BV2" s="384" t="s">
        <v>217</v>
      </c>
      <c r="BW2" s="384" t="s">
        <v>217</v>
      </c>
      <c r="BX2" s="300" t="s">
        <v>217</v>
      </c>
      <c r="BY2" s="384"/>
      <c r="BZ2" s="384"/>
      <c r="CA2" s="270" t="s">
        <v>217</v>
      </c>
      <c r="CB2" s="271" t="s">
        <v>217</v>
      </c>
      <c r="CC2" s="384" t="s">
        <v>217</v>
      </c>
      <c r="CF2" s="384" t="s">
        <v>217</v>
      </c>
      <c r="CG2" s="299" t="s">
        <v>217</v>
      </c>
      <c r="CH2" s="263" t="s">
        <v>217</v>
      </c>
      <c r="CI2" s="384"/>
      <c r="CJ2" s="384"/>
      <c r="CK2" s="384" t="s">
        <v>217</v>
      </c>
      <c r="CL2" s="384"/>
      <c r="CM2" s="384"/>
      <c r="CN2" s="384"/>
      <c r="CO2" s="422"/>
      <c r="CP2" s="422"/>
      <c r="CQ2" s="422"/>
      <c r="CR2" s="425" t="s">
        <v>217</v>
      </c>
      <c r="CS2" s="425"/>
      <c r="CT2" s="383"/>
      <c r="CU2" s="426" t="s">
        <v>217</v>
      </c>
      <c r="CV2" s="427"/>
      <c r="CW2" s="427"/>
      <c r="CX2" s="384"/>
      <c r="CY2" s="384" t="s">
        <v>217</v>
      </c>
      <c r="CZ2" s="384" t="s">
        <v>217</v>
      </c>
      <c r="DA2" s="384"/>
      <c r="DB2" s="261"/>
      <c r="DC2" s="261" t="s">
        <v>217</v>
      </c>
      <c r="DD2" s="384" t="s">
        <v>217</v>
      </c>
    </row>
    <row r="3" spans="1:135" ht="89.25" customHeight="1" x14ac:dyDescent="0.2">
      <c r="A3" s="416"/>
      <c r="C3" s="255"/>
      <c r="D3" s="255"/>
      <c r="E3" s="255"/>
      <c r="F3" s="255"/>
      <c r="G3" s="255"/>
      <c r="H3" s="255"/>
      <c r="I3" s="255"/>
      <c r="J3" s="255"/>
      <c r="K3" s="255"/>
      <c r="L3" s="255"/>
      <c r="M3" s="255"/>
      <c r="N3" s="255"/>
      <c r="O3" s="255"/>
      <c r="P3" s="255"/>
      <c r="Q3" s="255"/>
      <c r="R3" s="255"/>
      <c r="S3" s="256"/>
      <c r="T3" s="385" t="s">
        <v>194</v>
      </c>
      <c r="U3" s="385" t="s">
        <v>136</v>
      </c>
      <c r="V3" s="1" t="s">
        <v>157</v>
      </c>
      <c r="W3" s="385" t="s">
        <v>312</v>
      </c>
      <c r="X3" s="234" t="s">
        <v>195</v>
      </c>
      <c r="Y3" s="122" t="str">
        <f>CQ3</f>
        <v>Alcohol wash of 1/2 cup of young bees</v>
      </c>
      <c r="Z3" s="159" t="s">
        <v>144</v>
      </c>
      <c r="AA3" s="385" t="s">
        <v>142</v>
      </c>
      <c r="AB3" s="417" t="s">
        <v>154</v>
      </c>
      <c r="AC3" s="417"/>
      <c r="AD3" s="417"/>
      <c r="AE3" s="417"/>
      <c r="AF3" s="417"/>
      <c r="AG3" s="417"/>
      <c r="AH3" s="418" t="s">
        <v>237</v>
      </c>
      <c r="AI3" s="418"/>
      <c r="AJ3" s="377" t="s">
        <v>0</v>
      </c>
      <c r="AK3" s="63" t="s">
        <v>92</v>
      </c>
      <c r="AL3" s="24" t="s">
        <v>7</v>
      </c>
      <c r="AM3" s="386" t="s">
        <v>93</v>
      </c>
      <c r="AN3" s="25" t="s">
        <v>9</v>
      </c>
      <c r="AO3" s="381" t="s">
        <v>8</v>
      </c>
      <c r="AP3" s="381" t="s">
        <v>91</v>
      </c>
      <c r="AQ3" s="381" t="s">
        <v>147</v>
      </c>
      <c r="AR3" s="381" t="s">
        <v>10</v>
      </c>
      <c r="AS3" s="143" t="s">
        <v>145</v>
      </c>
      <c r="AT3" s="141" t="s">
        <v>98</v>
      </c>
      <c r="AU3" s="381" t="s">
        <v>95</v>
      </c>
      <c r="AV3" s="130" t="s">
        <v>94</v>
      </c>
      <c r="AW3" s="381" t="s">
        <v>99</v>
      </c>
      <c r="AX3" s="26" t="s">
        <v>97</v>
      </c>
      <c r="AY3" s="172" t="s">
        <v>314</v>
      </c>
      <c r="AZ3" s="312" t="s">
        <v>315</v>
      </c>
      <c r="BA3" s="69" t="s">
        <v>317</v>
      </c>
      <c r="BB3" s="69" t="s">
        <v>318</v>
      </c>
      <c r="BC3" s="69" t="s">
        <v>100</v>
      </c>
      <c r="BD3" s="69" t="s">
        <v>115</v>
      </c>
      <c r="BE3" s="69" t="s">
        <v>138</v>
      </c>
      <c r="BF3" s="69" t="s">
        <v>141</v>
      </c>
      <c r="BG3" s="69" t="s">
        <v>103</v>
      </c>
      <c r="BH3" s="69" t="s">
        <v>137</v>
      </c>
      <c r="BI3" s="69" t="s">
        <v>122</v>
      </c>
      <c r="BJ3" s="69" t="s">
        <v>121</v>
      </c>
      <c r="BK3" s="373" t="s">
        <v>124</v>
      </c>
      <c r="BL3" s="70" t="s">
        <v>96</v>
      </c>
      <c r="BM3" s="373" t="s">
        <v>101</v>
      </c>
      <c r="BN3" s="373" t="s">
        <v>116</v>
      </c>
      <c r="BO3" s="374" t="s">
        <v>139</v>
      </c>
      <c r="BP3" s="374" t="s">
        <v>140</v>
      </c>
      <c r="BQ3" s="373" t="s">
        <v>102</v>
      </c>
      <c r="BR3" s="373" t="s">
        <v>104</v>
      </c>
      <c r="BS3" s="373" t="s">
        <v>137</v>
      </c>
      <c r="BT3" s="373" t="s">
        <v>122</v>
      </c>
      <c r="BU3" s="373" t="s">
        <v>123</v>
      </c>
      <c r="BV3" s="375" t="s">
        <v>223</v>
      </c>
      <c r="BW3" s="133" t="s">
        <v>230</v>
      </c>
      <c r="BX3" s="133" t="s">
        <v>222</v>
      </c>
      <c r="BY3" s="133"/>
      <c r="BZ3" s="56" t="s">
        <v>203</v>
      </c>
      <c r="CA3" s="133" t="s">
        <v>225</v>
      </c>
      <c r="CB3" s="133" t="s">
        <v>219</v>
      </c>
      <c r="CC3" s="148" t="s">
        <v>209</v>
      </c>
      <c r="CD3" s="133" t="s">
        <v>228</v>
      </c>
      <c r="CE3" s="135" t="s">
        <v>229</v>
      </c>
      <c r="CF3" s="135" t="s">
        <v>221</v>
      </c>
      <c r="CG3" s="249" t="s">
        <v>113</v>
      </c>
      <c r="CH3" s="137" t="s">
        <v>135</v>
      </c>
      <c r="CI3" s="97" t="s">
        <v>234</v>
      </c>
      <c r="CJ3" s="133" t="s">
        <v>233</v>
      </c>
      <c r="CK3" s="96" t="s">
        <v>129</v>
      </c>
      <c r="CL3" s="56" t="s">
        <v>232</v>
      </c>
      <c r="CM3" s="381" t="s">
        <v>311</v>
      </c>
      <c r="CN3" s="377" t="s">
        <v>0</v>
      </c>
      <c r="CO3" s="381" t="s">
        <v>11</v>
      </c>
      <c r="CP3" s="26" t="s">
        <v>12</v>
      </c>
      <c r="CQ3" s="62" t="s">
        <v>114</v>
      </c>
      <c r="CR3" s="363" t="s">
        <v>319</v>
      </c>
      <c r="CS3" s="363" t="s">
        <v>320</v>
      </c>
      <c r="CT3" s="363" t="s">
        <v>313</v>
      </c>
      <c r="CU3" s="381" t="s">
        <v>127</v>
      </c>
      <c r="CV3" s="381" t="s">
        <v>128</v>
      </c>
      <c r="CW3" s="26" t="s">
        <v>214</v>
      </c>
      <c r="CX3" s="26" t="s">
        <v>347</v>
      </c>
      <c r="CY3" s="26" t="s">
        <v>158</v>
      </c>
      <c r="CZ3" s="264" t="s">
        <v>215</v>
      </c>
      <c r="DB3" s="381" t="s">
        <v>179</v>
      </c>
      <c r="DC3" s="168" t="s">
        <v>180</v>
      </c>
      <c r="DD3" s="381" t="s">
        <v>181</v>
      </c>
      <c r="DH3" s="437" t="s">
        <v>227</v>
      </c>
      <c r="DI3" s="437"/>
      <c r="DK3" s="250" t="s">
        <v>162</v>
      </c>
      <c r="DL3" s="381" t="s">
        <v>89</v>
      </c>
    </row>
    <row r="4" spans="1:135" x14ac:dyDescent="0.2">
      <c r="A4" s="416"/>
      <c r="T4" s="125"/>
      <c r="U4" s="2">
        <f t="shared" ref="U4:U28" si="0">IF($P$27="x", DI4,DH4)</f>
        <v>40544</v>
      </c>
      <c r="V4" s="59">
        <f>IF(CT4&gt;0,"",BZ4)</f>
        <v>100</v>
      </c>
      <c r="W4" s="310">
        <f>IF(CT4&gt;0,"",CM4)</f>
        <v>1.6685159882432243E-2</v>
      </c>
      <c r="X4" s="235">
        <f>IF(CT4&gt;0,"",CG4)</f>
        <v>0</v>
      </c>
      <c r="Y4" s="123">
        <f>IF(CT4&gt;0,"",CQ4)</f>
        <v>1.0874928302843625</v>
      </c>
      <c r="Z4" s="4">
        <f t="shared" ref="Z4:Z28" si="1">IF(CT4&gt;0,"",IF(AN4&lt;5,"n/a",BO4))</f>
        <v>3.2613560586405077E-2</v>
      </c>
      <c r="AA4" s="3">
        <f t="shared" ref="AA4:AA28" si="2">IF(CT4&gt;0,"",AU4)</f>
        <v>0.55237731062062867</v>
      </c>
      <c r="AB4" s="127"/>
      <c r="AC4" s="438"/>
      <c r="AD4" s="438"/>
      <c r="AE4" s="438"/>
      <c r="AF4" s="127"/>
      <c r="AG4" s="127"/>
      <c r="AH4" s="127"/>
      <c r="AI4" s="437" t="s">
        <v>90</v>
      </c>
      <c r="AJ4" s="274">
        <f>U4</f>
        <v>40544</v>
      </c>
      <c r="AK4" s="389">
        <f>IF($B$29="d",Colony!H31,IF($B$29="n",Colony!H59,IF($B$29="p",Colony!H87,IF($B$29="a",Colony!H115,IF($B$29="b",Colony!H143,IF($B$29="c",Colony!H171,IF($B$29="r",Colony!H199,IF($B$29="s",Colony!H227,IF($B$29="f",Colony!H255,"error")))))))))</f>
        <v>8</v>
      </c>
      <c r="AL4">
        <f t="shared" ref="AL4:AL27" si="3">AK4*$AK$44</f>
        <v>16000</v>
      </c>
      <c r="AM4" s="81">
        <f>IF($B$29="d",Colony!F31,IF($B$29="n",Colony!F59,IF($B$29="p",Colony!F87,IF($B$29="a",Colony!F115,IF($B$29="b",Colony!F143,IF($B$29="c",Colony!F171,IF($B$29="r",Colony!F199,IF($B$29="s",Colony!F227,IF($B$29="f",Colony!F255,"error")))))))))</f>
        <v>0.5</v>
      </c>
      <c r="AN4" s="17">
        <f t="shared" ref="AN4:AN27" si="4">IF(AM4=0,1,$AK$43*AM4)</f>
        <v>2250</v>
      </c>
      <c r="AO4" s="21">
        <f t="shared" ref="AO4:AO27" si="5">IF(AL4=0,0,AN4/AL4)</f>
        <v>0.140625</v>
      </c>
      <c r="AP4">
        <f>AN4*12/20</f>
        <v>1350</v>
      </c>
      <c r="AQ4" s="18">
        <f>BO4*AP4</f>
        <v>44.028306791646855</v>
      </c>
      <c r="AR4" s="18">
        <f t="shared" ref="AR4:AR27" si="6">AN4/20</f>
        <v>112.5</v>
      </c>
      <c r="AS4" s="142">
        <f>IF(AO4=0,0.001,(-$AK$42*LN(AO4))+$AK$41)</f>
        <v>14.808292530117262</v>
      </c>
      <c r="AT4" s="27">
        <f t="shared" ref="AT4:AT27" si="7">AS4+12</f>
        <v>26.808292530117264</v>
      </c>
      <c r="AU4" s="32">
        <f t="shared" ref="AU4:AU27" si="8">IF(AM4=0,1,AS4/AT4)</f>
        <v>0.55237731062062867</v>
      </c>
      <c r="AV4" s="131">
        <f t="shared" ref="AV4:AV27" si="9">1-AU4</f>
        <v>0.44762268937937133</v>
      </c>
      <c r="AW4" s="28">
        <f t="shared" ref="AW4:AW28" si="10">BZ4*AV4</f>
        <v>44.762268937937137</v>
      </c>
      <c r="AX4" s="258">
        <f t="shared" ref="AX4:AX27" si="11">0.6*AN4</f>
        <v>1350</v>
      </c>
      <c r="AY4" s="80">
        <f>IF($B$29="d",Colony!J31,IF($B$29="n",Colony!J59,IF($B$29="p",Colony!J87,IF($B$29="a",Colony!J115,IF($B$29="b",Colony!J143,IF($B$29="c",Colony!J171,IF($B$29="r",Colony!J199,IF($B$29="s",Colony!J199,IF($B$29="f",Colony!J255,"error")))))))))</f>
        <v>0</v>
      </c>
      <c r="AZ4" s="106">
        <f>AY4*16/25</f>
        <v>0</v>
      </c>
      <c r="BA4" s="75">
        <f>AZ4*$AK$42</f>
        <v>0</v>
      </c>
      <c r="BB4" s="102">
        <f>BA4*AV4</f>
        <v>0</v>
      </c>
      <c r="BC4" s="72">
        <f t="shared" ref="BC4:BC27" si="12">BA4*AW4</f>
        <v>0</v>
      </c>
      <c r="BD4" s="73">
        <f>IF(AZ4=0,0,BC4/(AX4*AZ4))</f>
        <v>0</v>
      </c>
      <c r="BE4" s="369">
        <f>1-(_xlfn.POISSON.DIST(0,BD4,FALSE))</f>
        <v>0</v>
      </c>
      <c r="BF4" s="370">
        <f>IF(BE4=0,0,BD4/BE4)</f>
        <v>0</v>
      </c>
      <c r="BG4" s="73">
        <f t="shared" ref="BG4:BG27" si="13">AS4+15</f>
        <v>29.808292530117264</v>
      </c>
      <c r="BH4" s="368">
        <v>1</v>
      </c>
      <c r="BI4" s="84">
        <f t="shared" ref="BI4:BI27" si="14">(1+($AK$31*BH4))*$AK$46</f>
        <v>4.2749999999999995</v>
      </c>
      <c r="BJ4" s="78">
        <f>LN(BI4)/14.75</f>
        <v>9.8493837450082944E-2</v>
      </c>
      <c r="BK4" s="103">
        <f>1-AU4-BB4</f>
        <v>0.44762268937937133</v>
      </c>
      <c r="BL4" s="71">
        <f>(1-AZ4)*AX4</f>
        <v>1350</v>
      </c>
      <c r="BM4" s="71">
        <f t="shared" ref="BM4:BM27" si="15">AW4-BC4</f>
        <v>44.762268937937137</v>
      </c>
      <c r="BN4" s="74">
        <f t="shared" ref="BN4:BN27" si="16">BM4/BL4</f>
        <v>3.3157236250323803E-2</v>
      </c>
      <c r="BO4" s="366">
        <f>1-(_xlfn.POISSON.DIST(0,BN4,FALSE))</f>
        <v>3.2613560586405077E-2</v>
      </c>
      <c r="BP4" s="368">
        <f>BN4/(BO4+0.000001)</f>
        <v>1.0166390610255509</v>
      </c>
      <c r="BQ4" s="76">
        <f t="shared" ref="BQ4:BQ28" si="17">1-BA4</f>
        <v>1</v>
      </c>
      <c r="BR4" s="74">
        <f t="shared" ref="BR4:BR28" si="18">AS4+12</f>
        <v>26.808292530117264</v>
      </c>
      <c r="BS4" s="367">
        <v>1</v>
      </c>
      <c r="BT4" s="83">
        <f>(1+($AK$29*BS4))*$AK$46</f>
        <v>2.2586249999999999</v>
      </c>
      <c r="BU4" s="79">
        <f t="shared" ref="BU4:BU28" si="19">IF(BZ4&gt;2*BL4,0,LN(BT4)/12.5)</f>
        <v>6.518049768398862E-2</v>
      </c>
      <c r="BV4" s="112">
        <f t="shared" ref="BV4:BV28" si="20">(BB4*BJ4+BK4*BU4)</f>
        <v>2.917626966839287E-2</v>
      </c>
      <c r="BW4" s="55">
        <f t="shared" ref="BW4:BW28" si="21">IF(AO4&gt;0.25,$AQ$38,$AQ$37)</f>
        <v>-5.0125418235442863E-3</v>
      </c>
      <c r="BX4" s="134">
        <f t="shared" ref="BX4:BX27" si="22">BV4+BW4</f>
        <v>2.4163727844848583E-2</v>
      </c>
      <c r="BY4" s="147"/>
      <c r="BZ4" s="105">
        <f>IF(OR($B$29="n",$B$29="p"),0,B31)</f>
        <v>100</v>
      </c>
      <c r="CA4" s="242">
        <f t="shared" ref="CA4:CA27" si="23">BZ4*$AK$30</f>
        <v>70</v>
      </c>
      <c r="CB4" s="241">
        <f>CA4</f>
        <v>70</v>
      </c>
      <c r="CC4" s="149">
        <f>CB4*EXP(BV4*$AK$36)-CB4</f>
        <v>39.09484882878732</v>
      </c>
      <c r="CD4" s="17">
        <f>BZ4+CC4</f>
        <v>139.09484882878732</v>
      </c>
      <c r="CE4" s="269">
        <f>CD4-CF4</f>
        <v>10.209446023238371</v>
      </c>
      <c r="CF4" s="136">
        <f t="shared" ref="CF4:CF28" si="24">CD4*EXP((IF(AO4&gt;0.25,$AQ$38,$AQ$37)*$AK$36))</f>
        <v>128.88540280554895</v>
      </c>
      <c r="CG4" s="246">
        <f>IF($B$33=0,0, IF($B$33=1,Colony!AF4,IF($B$33=2,Colony!AG4,IF($B$33=3,Colony!AH4,IF($B$33=4,Colony!AI4,IF($B$33="X",Colony!AK4,"error"))))))</f>
        <v>0</v>
      </c>
      <c r="CH4" s="138"/>
      <c r="CI4" s="240"/>
      <c r="CJ4" s="268">
        <f>CF4+CI4</f>
        <v>128.88540280554895</v>
      </c>
      <c r="CK4" s="136">
        <f t="shared" ref="CK4:CK27" si="25">CJ4*T4</f>
        <v>0</v>
      </c>
      <c r="CL4" s="95">
        <f t="shared" ref="CL4:CL27" si="26">CJ4-CK4</f>
        <v>128.88540280554895</v>
      </c>
      <c r="CM4" s="29">
        <f>LN(CL4/BZ4)/$AK$36</f>
        <v>1.6685159882432243E-2</v>
      </c>
      <c r="CN4" s="274">
        <f t="shared" ref="CN4:CN28" si="27">U4</f>
        <v>40544</v>
      </c>
      <c r="CO4" s="89">
        <f t="shared" ref="CO4:CO28" si="28">BZ4*AU4</f>
        <v>55.237731062062863</v>
      </c>
      <c r="CP4" s="21">
        <f t="shared" ref="CP4:CP28" si="29">IF(AL4=0,0.001,CO4/AL4)</f>
        <v>3.4523581913789288E-3</v>
      </c>
      <c r="CQ4" s="146">
        <f t="shared" ref="CQ4:CQ27" si="30">CP4*315</f>
        <v>1.0874928302843625</v>
      </c>
      <c r="CR4" s="90"/>
      <c r="CS4" s="90"/>
      <c r="CT4" s="90"/>
      <c r="CU4" s="90"/>
      <c r="CV4" s="90"/>
      <c r="CW4" s="12"/>
      <c r="CX4" s="12"/>
      <c r="CY4" s="239"/>
      <c r="CZ4" s="265"/>
      <c r="DB4" s="364">
        <f>BZ4</f>
        <v>100</v>
      </c>
      <c r="DC4" s="164">
        <v>0</v>
      </c>
      <c r="DD4" s="365">
        <v>0.5</v>
      </c>
      <c r="DH4" s="2">
        <v>40544</v>
      </c>
      <c r="DI4" s="262">
        <v>42917</v>
      </c>
      <c r="DJ4" s="18"/>
      <c r="DK4" s="251"/>
      <c r="DM4" s="18"/>
      <c r="DN4" s="18"/>
      <c r="DO4" s="18"/>
      <c r="DP4" s="18"/>
      <c r="DQ4" s="18"/>
      <c r="DR4" s="18"/>
      <c r="DS4" s="18"/>
      <c r="DT4" s="18"/>
      <c r="DU4" s="18"/>
      <c r="DV4" s="18"/>
      <c r="DW4" s="18"/>
      <c r="DX4" s="18"/>
      <c r="DY4" s="18"/>
      <c r="DZ4" s="18"/>
      <c r="EA4" s="18"/>
      <c r="EB4" s="18"/>
    </row>
    <row r="5" spans="1:135" ht="12.75" customHeight="1" x14ac:dyDescent="0.2">
      <c r="A5" s="416"/>
      <c r="T5" s="125"/>
      <c r="U5" s="2">
        <f t="shared" si="0"/>
        <v>40558</v>
      </c>
      <c r="V5" s="59">
        <f t="shared" ref="V5:V27" si="31">IF(CT5&gt;0,"",BZ5)</f>
        <v>128.88540280554895</v>
      </c>
      <c r="W5" s="310">
        <f t="shared" ref="W5:W27" si="32">IF(CT5&gt;0,"",CM5)</f>
        <v>1.151713370096814E-2</v>
      </c>
      <c r="X5" s="235">
        <f t="shared" ref="X5:X27" si="33">IF(CT5&gt;0,"",CG5)</f>
        <v>0</v>
      </c>
      <c r="Y5" s="123">
        <f t="shared" ref="Y5:Y27" si="34">IF(CT5&gt;0,"",CQ5)</f>
        <v>0.83154690999650749</v>
      </c>
      <c r="Z5" s="4">
        <f t="shared" si="1"/>
        <v>1.06402836286007E-2</v>
      </c>
      <c r="AA5" s="3">
        <f t="shared" si="2"/>
        <v>0.32771207945577768</v>
      </c>
      <c r="AB5" s="428">
        <v>95</v>
      </c>
      <c r="AC5" s="431" t="s">
        <v>328</v>
      </c>
      <c r="AD5" s="432"/>
      <c r="AE5" s="432"/>
      <c r="AF5" s="432"/>
      <c r="AG5" s="433"/>
      <c r="AI5" s="437"/>
      <c r="AJ5" s="274">
        <f t="shared" ref="AJ5:AJ28" si="35">U5</f>
        <v>40558</v>
      </c>
      <c r="AK5" s="389">
        <f>IF($B$29="d",Colony!H32,IF($B$29="n",Colony!H60,IF($B$29="p",Colony!H88,IF($B$29="a",Colony!H116,IF($B$29="b",Colony!H144,IF($B$29="c",Colony!H172,IF($B$29="r",Colony!H200,IF($B$29="s",Colony!H228,IF($B$29="f",Colony!H256,"error")))))))))</f>
        <v>8</v>
      </c>
      <c r="AL5">
        <f t="shared" si="3"/>
        <v>16000</v>
      </c>
      <c r="AM5" s="81">
        <f>IF($B$29="d",Colony!F32,IF($B$29="n",Colony!F60,IF($B$29="p",Colony!F88,IF($B$29="a",Colony!F116,IF($B$29="b",Colony!F144,IF($B$29="c",Colony!F172,IF($B$29="r",Colony!F200,IF($B$29="s",Colony!F228,IF($B$29="f",Colony!F256,"error")))))))))</f>
        <v>3</v>
      </c>
      <c r="AN5" s="17">
        <f t="shared" si="4"/>
        <v>13500</v>
      </c>
      <c r="AO5" s="21">
        <f t="shared" si="5"/>
        <v>0.84375</v>
      </c>
      <c r="AP5">
        <f t="shared" ref="AP5:AP27" si="36">AN5*12/20</f>
        <v>8100</v>
      </c>
      <c r="AQ5" s="18">
        <f t="shared" ref="AQ5:AQ27" si="37">BO5*AP5</f>
        <v>86.186297391665661</v>
      </c>
      <c r="AR5" s="18">
        <f t="shared" si="6"/>
        <v>675</v>
      </c>
      <c r="AS5" s="142">
        <f t="shared" ref="AS5:AS27" si="38">IF(AO5=0,0.001,(-$AK$42*LN(AO5))+$AK$41)</f>
        <v>5.8494951839769875</v>
      </c>
      <c r="AT5" s="27">
        <f t="shared" si="7"/>
        <v>17.849495183976988</v>
      </c>
      <c r="AU5" s="32">
        <f t="shared" si="8"/>
        <v>0.32771207945577768</v>
      </c>
      <c r="AV5" s="131">
        <f t="shared" si="9"/>
        <v>0.67228792054422226</v>
      </c>
      <c r="AW5" s="28">
        <f t="shared" si="10"/>
        <v>86.648099440646973</v>
      </c>
      <c r="AX5" s="258">
        <f t="shared" si="11"/>
        <v>8100</v>
      </c>
      <c r="AY5" s="80">
        <f>IF($B$29="d",Colony!J32,IF($B$29="n",Colony!J60,IF($B$29="p",Colony!J88,IF($B$29="a",Colony!J116,IF($B$29="b",Colony!J144,IF($B$29="c",Colony!J172,IF($B$29="r",Colony!J200,IF($B$29="s",Colony!J200,IF($B$29="f",Colony!J256,"error")))))))))</f>
        <v>0</v>
      </c>
      <c r="AZ5" s="106">
        <f t="shared" ref="AZ5:AZ28" si="39">AY5*16/25</f>
        <v>0</v>
      </c>
      <c r="BA5" s="75">
        <f t="shared" ref="BA5:BA28" si="40">AZ5*$AK$42</f>
        <v>0</v>
      </c>
      <c r="BB5" s="102">
        <f t="shared" ref="BB5:BB27" si="41">BA5*AV5</f>
        <v>0</v>
      </c>
      <c r="BC5" s="72">
        <f t="shared" si="12"/>
        <v>0</v>
      </c>
      <c r="BD5" s="73">
        <f t="shared" ref="BD5:BD27" si="42">IF(AZ5=0,0,BC5/(AX5*AZ5))</f>
        <v>0</v>
      </c>
      <c r="BE5" s="369">
        <f t="shared" ref="BE5:BE28" si="43">1-(_xlfn.POISSON.DIST(0,BD5,FALSE))</f>
        <v>0</v>
      </c>
      <c r="BF5" s="370">
        <f t="shared" ref="BF5:BF27" si="44">IF(BE5=0,0,BD5/BE5)</f>
        <v>0</v>
      </c>
      <c r="BG5" s="73">
        <f t="shared" si="13"/>
        <v>20.849495183976988</v>
      </c>
      <c r="BH5" s="368">
        <v>1</v>
      </c>
      <c r="BI5" s="84">
        <f t="shared" si="14"/>
        <v>4.2749999999999995</v>
      </c>
      <c r="BJ5" s="78">
        <f t="shared" ref="BJ5:BJ27" si="45">LN(BI5)/14.75</f>
        <v>9.8493837450082944E-2</v>
      </c>
      <c r="BK5" s="103">
        <f t="shared" ref="BK5:BK27" si="46">1-AU5-BB5</f>
        <v>0.67228792054422226</v>
      </c>
      <c r="BL5" s="71">
        <f t="shared" ref="BL5:BL27" si="47">(1-AZ5)*AX5</f>
        <v>8100</v>
      </c>
      <c r="BM5" s="71">
        <f>AW5-BC5</f>
        <v>86.648099440646973</v>
      </c>
      <c r="BN5" s="74">
        <f t="shared" si="16"/>
        <v>1.0697296227240367E-2</v>
      </c>
      <c r="BO5" s="366">
        <f t="shared" ref="BO5:BO28" si="48">1-(_xlfn.POISSON.DIST(0,BN5,FALSE))</f>
        <v>1.06402836286007E-2</v>
      </c>
      <c r="BP5" s="368">
        <f t="shared" ref="BP5:BP28" si="49">BN5/(BO5+0.000001)</f>
        <v>1.0052637069544057</v>
      </c>
      <c r="BQ5" s="76">
        <f t="shared" si="17"/>
        <v>1</v>
      </c>
      <c r="BR5" s="74">
        <f t="shared" si="18"/>
        <v>17.849495183976988</v>
      </c>
      <c r="BS5" s="367">
        <v>1</v>
      </c>
      <c r="BT5" s="83">
        <f t="shared" ref="BT5:BT28" si="50">(1+($AK$29*BS5))*$AK$46</f>
        <v>2.2586249999999999</v>
      </c>
      <c r="BU5" s="79">
        <f t="shared" si="19"/>
        <v>6.518049768398862E-2</v>
      </c>
      <c r="BV5" s="112">
        <f t="shared" si="20"/>
        <v>4.3820061248006206E-2</v>
      </c>
      <c r="BW5" s="55">
        <f t="shared" si="21"/>
        <v>-6.0180723255630212E-3</v>
      </c>
      <c r="BX5" s="134">
        <f t="shared" si="22"/>
        <v>3.7801988922443186E-2</v>
      </c>
      <c r="BY5" s="134"/>
      <c r="BZ5" s="391">
        <f>IF(OR($B$29="n",$B$29="p"),0,CL4)</f>
        <v>128.88540280554895</v>
      </c>
      <c r="CA5" s="242">
        <f t="shared" si="23"/>
        <v>90.219781963884259</v>
      </c>
      <c r="CB5" s="242">
        <f>CA5*(1-DD4)</f>
        <v>45.109890981942129</v>
      </c>
      <c r="CC5" s="149">
        <f t="shared" ref="CC5:CC14" si="51">CB5*EXP(BV5*$AK$36)-CB5</f>
        <v>42.731396330327897</v>
      </c>
      <c r="CD5" s="17">
        <f t="shared" ref="CD5:CD27" si="52">BZ5+CC5</f>
        <v>171.61679913587685</v>
      </c>
      <c r="CE5" s="269">
        <f t="shared" ref="CE5:CE27" si="53">CD5-CF5</f>
        <v>15.009838766333985</v>
      </c>
      <c r="CF5" s="136">
        <f t="shared" si="24"/>
        <v>156.60696036954286</v>
      </c>
      <c r="CG5" s="246">
        <f>IF($B$33=0,0, IF($B$33=1,Colony!AF5,IF($B$33=2,Colony!AG5,IF($B$33=3,Colony!AH5,IF($B$33=4,Colony!AI5,IF($B$33="X",Colony!AK5,"error"))))))</f>
        <v>0</v>
      </c>
      <c r="CH5" s="138">
        <f t="shared" ref="CH5:CH27" si="54">IF(CZ5&gt;CO5*CY5,-CO5*CY5,-CZ5)</f>
        <v>-3.048695981404606</v>
      </c>
      <c r="CI5" s="98">
        <f>CG5+CH5</f>
        <v>-3.048695981404606</v>
      </c>
      <c r="CJ5" s="268">
        <f t="shared" ref="CJ5:CJ27" si="55">CF5+CI5</f>
        <v>153.55826438813824</v>
      </c>
      <c r="CK5" s="136">
        <f t="shared" si="25"/>
        <v>0</v>
      </c>
      <c r="CL5" s="95">
        <f t="shared" si="26"/>
        <v>153.55826438813824</v>
      </c>
      <c r="CM5" s="29">
        <f t="shared" ref="CM5:CM27" si="56">LN(CL5/BZ5)/$AK$36</f>
        <v>1.151713370096814E-2</v>
      </c>
      <c r="CN5" s="274">
        <f t="shared" si="27"/>
        <v>40558</v>
      </c>
      <c r="CO5" s="89">
        <f t="shared" si="28"/>
        <v>42.237303364901969</v>
      </c>
      <c r="CP5" s="21">
        <f t="shared" si="29"/>
        <v>2.6398314603063729E-3</v>
      </c>
      <c r="CQ5" s="146">
        <f t="shared" si="30"/>
        <v>0.83154690999650749</v>
      </c>
      <c r="CR5" s="90"/>
      <c r="CS5" s="90"/>
      <c r="CT5" s="90"/>
      <c r="CU5" s="17">
        <f t="shared" ref="CU5:CU28" si="57">AN4*0.9/20*$AK$36</f>
        <v>1539.84375</v>
      </c>
      <c r="CV5" s="18">
        <f t="shared" ref="CV5:CV28" si="58">AL5-AL4</f>
        <v>0</v>
      </c>
      <c r="CW5" s="267">
        <f t="shared" ref="CW5:CW27" si="59">CU5-CV5</f>
        <v>1539.84375</v>
      </c>
      <c r="CX5" s="267">
        <f>CW5/$AK$36</f>
        <v>101.25</v>
      </c>
      <c r="CY5" s="104">
        <f t="shared" ref="CY5:CY27" si="60">IF(CP5&gt;0.15,1,$AK$35)</f>
        <v>0.75</v>
      </c>
      <c r="CZ5" s="266">
        <f t="shared" ref="CZ5:CZ27" si="61">CW5*CY5*CP5</f>
        <v>3.048695981404606</v>
      </c>
      <c r="DB5" s="17">
        <f>CC5</f>
        <v>42.731396330327897</v>
      </c>
      <c r="DC5" s="164">
        <v>0</v>
      </c>
      <c r="DD5" s="37">
        <f>DC$59</f>
        <v>0</v>
      </c>
      <c r="DH5" s="2">
        <v>40558</v>
      </c>
      <c r="DI5" s="262">
        <v>42931</v>
      </c>
      <c r="DJ5" s="18"/>
      <c r="DK5" s="251"/>
      <c r="DL5">
        <v>5.67</v>
      </c>
      <c r="DM5" s="18"/>
      <c r="DN5" s="18"/>
      <c r="DO5" s="18"/>
      <c r="DP5" s="18"/>
      <c r="DQ5" s="18"/>
      <c r="DR5" s="18"/>
      <c r="DS5" s="18"/>
      <c r="DT5" s="18"/>
      <c r="DU5" s="18"/>
      <c r="DV5" s="18"/>
      <c r="DW5" s="18"/>
      <c r="DX5" s="18"/>
      <c r="DY5" s="18"/>
      <c r="DZ5" s="18"/>
      <c r="EA5" s="18"/>
      <c r="EB5" s="18"/>
      <c r="EC5" s="18"/>
      <c r="ED5" s="18"/>
      <c r="EE5" s="18"/>
    </row>
    <row r="6" spans="1:135" ht="12.95" customHeight="1" x14ac:dyDescent="0.2">
      <c r="A6" s="416"/>
      <c r="T6" s="125"/>
      <c r="U6" s="2">
        <f t="shared" si="0"/>
        <v>40575</v>
      </c>
      <c r="V6" s="59">
        <f t="shared" si="31"/>
        <v>153.55826438813824</v>
      </c>
      <c r="W6" s="310">
        <f t="shared" si="32"/>
        <v>3.1156799902980446E-2</v>
      </c>
      <c r="X6" s="235">
        <f t="shared" si="33"/>
        <v>0</v>
      </c>
      <c r="Y6" s="123">
        <f t="shared" si="34"/>
        <v>0.59718333787523048</v>
      </c>
      <c r="Z6" s="4">
        <f t="shared" si="1"/>
        <v>7.3562590571055742E-3</v>
      </c>
      <c r="AA6" s="3">
        <f t="shared" si="2"/>
        <v>0.24691866996450262</v>
      </c>
      <c r="AB6" s="429"/>
      <c r="AC6" s="434"/>
      <c r="AD6" s="435"/>
      <c r="AE6" s="435"/>
      <c r="AF6" s="435"/>
      <c r="AG6" s="436"/>
      <c r="AI6" s="437"/>
      <c r="AJ6" s="274">
        <f t="shared" si="35"/>
        <v>40575</v>
      </c>
      <c r="AK6" s="389">
        <f>IF($B$29="d",Colony!H33,IF($B$29="n",Colony!H61,IF($B$29="p",Colony!H89,IF($B$29="a",Colony!H117,IF($B$29="b",Colony!H145,IF($B$29="c",Colony!H173,IF($B$29="r",Colony!H201,IF($B$29="s",Colony!H229,IF($B$29="f",Colony!H257,"error")))))))))</f>
        <v>10</v>
      </c>
      <c r="AL6">
        <f t="shared" si="3"/>
        <v>20000</v>
      </c>
      <c r="AM6" s="81">
        <f>IF($B$29="d",Colony!F33,IF($B$29="n",Colony!F61,IF($B$29="p",Colony!F89,IF($B$29="a",Colony!F117,IF($B$29="b",Colony!F145,IF($B$29="c",Colony!F173,IF($B$29="r",Colony!F201,IF($B$29="s",Colony!F229,IF($B$29="f",Colony!F257,"error")))))))))</f>
        <v>5.5</v>
      </c>
      <c r="AN6" s="17">
        <f t="shared" si="4"/>
        <v>24750</v>
      </c>
      <c r="AO6" s="21">
        <f t="shared" si="5"/>
        <v>1.2375</v>
      </c>
      <c r="AP6">
        <f t="shared" si="36"/>
        <v>14850</v>
      </c>
      <c r="AQ6" s="18">
        <f t="shared" si="37"/>
        <v>109.24044699801777</v>
      </c>
      <c r="AR6" s="18">
        <f t="shared" si="6"/>
        <v>1237.5</v>
      </c>
      <c r="AS6" s="142">
        <f t="shared" si="38"/>
        <v>3.934533922696458</v>
      </c>
      <c r="AT6" s="27">
        <f t="shared" si="7"/>
        <v>15.934533922696458</v>
      </c>
      <c r="AU6" s="32">
        <f t="shared" si="8"/>
        <v>0.24691866996450262</v>
      </c>
      <c r="AV6" s="131">
        <f t="shared" si="9"/>
        <v>0.75308133003549738</v>
      </c>
      <c r="AW6" s="28">
        <f t="shared" si="10"/>
        <v>115.64186198336169</v>
      </c>
      <c r="AX6" s="258">
        <f t="shared" si="11"/>
        <v>14850</v>
      </c>
      <c r="AY6" s="80">
        <f>IF($B$29="d",Colony!J33,IF($B$29="n",Colony!J61,IF($B$29="p",Colony!J89,IF($B$29="a",Colony!J117,IF($B$29="b",Colony!J145,IF($B$29="c",Colony!J173,IF($B$29="r",Colony!J201,IF($B$29="s",Colony!J201,IF($B$29="f",Colony!J257,"error")))))))))</f>
        <v>0.02</v>
      </c>
      <c r="AZ6" s="106">
        <f t="shared" si="39"/>
        <v>1.2800000000000001E-2</v>
      </c>
      <c r="BA6" s="75">
        <f t="shared" si="40"/>
        <v>6.4000000000000001E-2</v>
      </c>
      <c r="BB6" s="102">
        <f t="shared" si="41"/>
        <v>4.8197205122271831E-2</v>
      </c>
      <c r="BC6" s="72">
        <f t="shared" si="12"/>
        <v>7.4010791669351486</v>
      </c>
      <c r="BD6" s="73">
        <f t="shared" si="42"/>
        <v>3.8936653866451745E-2</v>
      </c>
      <c r="BE6" s="369">
        <f t="shared" si="43"/>
        <v>3.8188365735106533E-2</v>
      </c>
      <c r="BF6" s="370">
        <f t="shared" si="44"/>
        <v>1.0195946623255814</v>
      </c>
      <c r="BG6" s="73">
        <f t="shared" si="13"/>
        <v>18.93453392269646</v>
      </c>
      <c r="BH6" s="368">
        <v>1</v>
      </c>
      <c r="BI6" s="84">
        <f t="shared" si="14"/>
        <v>4.2749999999999995</v>
      </c>
      <c r="BJ6" s="78">
        <f t="shared" si="45"/>
        <v>9.8493837450082944E-2</v>
      </c>
      <c r="BK6" s="103">
        <f t="shared" si="46"/>
        <v>0.7048841249132255</v>
      </c>
      <c r="BL6" s="71">
        <f t="shared" si="47"/>
        <v>14659.92</v>
      </c>
      <c r="BM6" s="71">
        <f t="shared" si="15"/>
        <v>108.24078281642655</v>
      </c>
      <c r="BN6" s="74">
        <f t="shared" si="16"/>
        <v>7.3834497607372035E-3</v>
      </c>
      <c r="BO6" s="366">
        <f t="shared" si="48"/>
        <v>7.3562590571055742E-3</v>
      </c>
      <c r="BP6" s="368">
        <f t="shared" si="49"/>
        <v>1.0035598452396934</v>
      </c>
      <c r="BQ6" s="76">
        <f t="shared" si="17"/>
        <v>0.93599999999999994</v>
      </c>
      <c r="BR6" s="74">
        <f t="shared" si="18"/>
        <v>15.934533922696458</v>
      </c>
      <c r="BS6" s="367">
        <v>1</v>
      </c>
      <c r="BT6" s="83">
        <f t="shared" si="50"/>
        <v>2.2586249999999999</v>
      </c>
      <c r="BU6" s="79">
        <f t="shared" si="19"/>
        <v>6.518049768398862E-2</v>
      </c>
      <c r="BV6" s="112">
        <f t="shared" si="20"/>
        <v>5.0691825758248189E-2</v>
      </c>
      <c r="BW6" s="55">
        <f t="shared" si="21"/>
        <v>-6.0180723255630212E-3</v>
      </c>
      <c r="BX6" s="134">
        <f t="shared" si="22"/>
        <v>4.4673753432685169E-2</v>
      </c>
      <c r="BY6" s="134"/>
      <c r="BZ6" s="391">
        <f>IF(OR($B$29="n",$B$29="p"),0,CL5)</f>
        <v>153.55826438813824</v>
      </c>
      <c r="CA6" s="242">
        <f t="shared" si="23"/>
        <v>107.49078507169676</v>
      </c>
      <c r="CB6" s="242">
        <f>CA6*(1-DD5)</f>
        <v>107.49078507169676</v>
      </c>
      <c r="CC6" s="149">
        <f t="shared" si="51"/>
        <v>124.88209126179555</v>
      </c>
      <c r="CD6" s="17">
        <f t="shared" si="52"/>
        <v>278.44035564993379</v>
      </c>
      <c r="CE6" s="269">
        <f t="shared" si="53"/>
        <v>24.352772370711904</v>
      </c>
      <c r="CF6" s="136">
        <f t="shared" si="24"/>
        <v>254.08758327922189</v>
      </c>
      <c r="CG6" s="246">
        <f>IF($B$33=0,0, IF($B$33=1,Colony!AF6,IF($B$33=2,Colony!AG6,IF($B$33=3,Colony!AH6,IF($B$33=4,Colony!AI6,IF($B$33="X",Colony!AK6,"error"))))))</f>
        <v>0</v>
      </c>
      <c r="CH6" s="138">
        <f t="shared" si="54"/>
        <v>-7.4492400740165472</v>
      </c>
      <c r="CI6" s="98">
        <f t="shared" ref="CI6:CI27" si="62">CG6+CH6</f>
        <v>-7.4492400740165472</v>
      </c>
      <c r="CJ6" s="268">
        <f t="shared" si="55"/>
        <v>246.63834320520533</v>
      </c>
      <c r="CK6" s="136">
        <f t="shared" si="25"/>
        <v>0</v>
      </c>
      <c r="CL6" s="95">
        <f t="shared" si="26"/>
        <v>246.63834320520533</v>
      </c>
      <c r="CM6" s="29">
        <f t="shared" si="56"/>
        <v>3.1156799902980446E-2</v>
      </c>
      <c r="CN6" s="274">
        <f t="shared" si="27"/>
        <v>40575</v>
      </c>
      <c r="CO6" s="89">
        <f t="shared" si="28"/>
        <v>37.916402404776541</v>
      </c>
      <c r="CP6" s="21">
        <f t="shared" si="29"/>
        <v>1.895820120238827E-3</v>
      </c>
      <c r="CQ6" s="146">
        <f t="shared" si="30"/>
        <v>0.59718333787523048</v>
      </c>
      <c r="CR6" t="str">
        <f>IF(CR5=100,100,IF(BO4&gt;$AK$37,100,""))</f>
        <v/>
      </c>
      <c r="CS6" t="str">
        <f t="shared" ref="CS6:CS28" si="63">IF(CS5=100,100,IF(AN6&lt;100,IF(CP6&gt;$AK$38,100,""),""))</f>
        <v/>
      </c>
      <c r="CT6">
        <f t="shared" ref="CT6:CT27" si="64">SUM(CR6:CS6)</f>
        <v>0</v>
      </c>
      <c r="CU6" s="17">
        <f t="shared" si="57"/>
        <v>9239.0625</v>
      </c>
      <c r="CV6" s="18">
        <f t="shared" si="58"/>
        <v>4000</v>
      </c>
      <c r="CW6" s="267">
        <f t="shared" si="59"/>
        <v>5239.0625</v>
      </c>
      <c r="CX6" s="267">
        <f t="shared" ref="CX6:CX28" si="65">CW6/$AK$36</f>
        <v>344.48630136986299</v>
      </c>
      <c r="CY6" s="104">
        <f t="shared" si="60"/>
        <v>0.75</v>
      </c>
      <c r="CZ6" s="266">
        <f t="shared" si="61"/>
        <v>7.4492400740165472</v>
      </c>
      <c r="DB6" s="17">
        <f t="shared" ref="DB6:DB28" si="66">CC6</f>
        <v>124.88209126179555</v>
      </c>
      <c r="DC6" s="164">
        <v>0</v>
      </c>
      <c r="DD6" s="37">
        <f>DD$59</f>
        <v>0</v>
      </c>
      <c r="DH6" s="2">
        <v>40575</v>
      </c>
      <c r="DI6" s="262">
        <v>42948</v>
      </c>
      <c r="DJ6" s="18"/>
      <c r="DK6" s="251"/>
      <c r="DM6" s="18"/>
      <c r="DN6" s="18"/>
      <c r="DO6" s="18"/>
      <c r="DP6" s="18"/>
      <c r="DQ6" s="18"/>
      <c r="DR6" s="18"/>
      <c r="DS6" s="18"/>
      <c r="DT6" s="18"/>
      <c r="DU6" s="18"/>
      <c r="DV6" s="18"/>
      <c r="DW6" s="18"/>
      <c r="DX6" s="18"/>
      <c r="DY6" s="18"/>
      <c r="DZ6" s="18"/>
      <c r="EA6" s="18"/>
      <c r="EB6" s="18"/>
      <c r="EC6" s="18"/>
      <c r="ED6" s="18"/>
      <c r="EE6" s="18"/>
    </row>
    <row r="7" spans="1:135" ht="12.75" customHeight="1" x14ac:dyDescent="0.2">
      <c r="A7" s="416"/>
      <c r="T7" s="125"/>
      <c r="U7" s="2">
        <f t="shared" si="0"/>
        <v>40589</v>
      </c>
      <c r="V7" s="59">
        <f t="shared" si="31"/>
        <v>246.63834320520533</v>
      </c>
      <c r="W7" s="310">
        <f t="shared" si="32"/>
        <v>3.0107628056768004E-2</v>
      </c>
      <c r="X7" s="235">
        <f t="shared" si="33"/>
        <v>0</v>
      </c>
      <c r="Y7" s="123">
        <f t="shared" si="34"/>
        <v>0.75345076684360646</v>
      </c>
      <c r="Z7" s="4">
        <f t="shared" si="1"/>
        <v>9.4481119904361588E-3</v>
      </c>
      <c r="AA7" s="3">
        <f t="shared" si="2"/>
        <v>0.23275283139625899</v>
      </c>
      <c r="AB7" s="428">
        <v>90</v>
      </c>
      <c r="AC7" s="430" t="s">
        <v>1</v>
      </c>
      <c r="AD7" s="430"/>
      <c r="AE7" s="430"/>
      <c r="AF7" s="430"/>
      <c r="AG7" s="430"/>
      <c r="AI7" s="437"/>
      <c r="AJ7" s="274">
        <f t="shared" si="35"/>
        <v>40589</v>
      </c>
      <c r="AK7" s="389">
        <f>IF($B$29="d",Colony!H34,IF($B$29="n",Colony!H62,IF($B$29="p",Colony!H90,IF($B$29="a",Colony!H118,IF($B$29="b",Colony!H146,IF($B$29="c",Colony!H174,IF($B$29="r",Colony!H202,IF($B$29="s",Colony!H230,IF($B$29="f",Colony!H258,"error")))))))))</f>
        <v>12</v>
      </c>
      <c r="AL7">
        <f t="shared" si="3"/>
        <v>24000</v>
      </c>
      <c r="AM7" s="81">
        <f>IF($B$29="d",Colony!F34,IF($B$29="n",Colony!F62,IF($B$29="p",Colony!F90,IF($B$29="a",Colony!F118,IF($B$29="b",Colony!F146,IF($B$29="c",Colony!F174,IF($B$29="r",Colony!F202,IF($B$29="s",Colony!F230,IF($B$29="f",Colony!F258,"error")))))))))</f>
        <v>7</v>
      </c>
      <c r="AN7" s="17">
        <f t="shared" si="4"/>
        <v>31500</v>
      </c>
      <c r="AO7" s="21">
        <f t="shared" si="5"/>
        <v>1.3125</v>
      </c>
      <c r="AP7">
        <f t="shared" si="36"/>
        <v>18900</v>
      </c>
      <c r="AQ7" s="18">
        <f t="shared" si="37"/>
        <v>178.56931661924341</v>
      </c>
      <c r="AR7" s="18">
        <f t="shared" si="6"/>
        <v>1575</v>
      </c>
      <c r="AS7" s="142">
        <f t="shared" si="38"/>
        <v>3.6403314225817911</v>
      </c>
      <c r="AT7" s="27">
        <f t="shared" si="7"/>
        <v>15.640331422581792</v>
      </c>
      <c r="AU7" s="32">
        <f t="shared" si="8"/>
        <v>0.23275283139625899</v>
      </c>
      <c r="AV7" s="131">
        <f t="shared" si="9"/>
        <v>0.76724716860374098</v>
      </c>
      <c r="AW7" s="28">
        <f t="shared" si="10"/>
        <v>189.2325704933115</v>
      </c>
      <c r="AX7" s="258">
        <f t="shared" si="11"/>
        <v>18900</v>
      </c>
      <c r="AY7" s="80">
        <f>IF($B$29="d",Colony!J34,IF($B$29="n",Colony!J62,IF($B$29="p",Colony!J90,IF($B$29="a",Colony!J118,IF($B$29="b",Colony!J146,IF($B$29="c",Colony!J174,IF($B$29="r",Colony!J202,IF($B$29="s",Colony!J202,IF($B$29="f",Colony!J258,"error")))))))))</f>
        <v>0.02</v>
      </c>
      <c r="AZ7" s="106">
        <f t="shared" si="39"/>
        <v>1.2800000000000001E-2</v>
      </c>
      <c r="BA7" s="75">
        <f t="shared" si="40"/>
        <v>6.4000000000000001E-2</v>
      </c>
      <c r="BB7" s="102">
        <f t="shared" si="41"/>
        <v>4.9103818790639422E-2</v>
      </c>
      <c r="BC7" s="72">
        <f t="shared" si="12"/>
        <v>12.110884511571935</v>
      </c>
      <c r="BD7" s="73">
        <f t="shared" si="42"/>
        <v>5.0061526585532139E-2</v>
      </c>
      <c r="BE7" s="369">
        <f t="shared" si="43"/>
        <v>4.8829099597420766E-2</v>
      </c>
      <c r="BF7" s="370">
        <f t="shared" si="44"/>
        <v>1.0252396009402653</v>
      </c>
      <c r="BG7" s="73">
        <f t="shared" si="13"/>
        <v>18.640331422581792</v>
      </c>
      <c r="BH7" s="368">
        <v>1</v>
      </c>
      <c r="BI7" s="84">
        <f t="shared" si="14"/>
        <v>4.2749999999999995</v>
      </c>
      <c r="BJ7" s="78">
        <f t="shared" si="45"/>
        <v>9.8493837450082944E-2</v>
      </c>
      <c r="BK7" s="103">
        <f t="shared" si="46"/>
        <v>0.71814334981310157</v>
      </c>
      <c r="BL7" s="71">
        <f t="shared" si="47"/>
        <v>18658.079999999998</v>
      </c>
      <c r="BM7" s="71">
        <f t="shared" si="15"/>
        <v>177.12168598173957</v>
      </c>
      <c r="BN7" s="74">
        <f t="shared" si="16"/>
        <v>9.4930285421511527E-3</v>
      </c>
      <c r="BO7" s="366">
        <f t="shared" si="48"/>
        <v>9.4481119904361588E-3</v>
      </c>
      <c r="BP7" s="368">
        <f t="shared" si="49"/>
        <v>1.0046476908898365</v>
      </c>
      <c r="BQ7" s="76">
        <f t="shared" si="17"/>
        <v>0.93599999999999994</v>
      </c>
      <c r="BR7" s="74">
        <f t="shared" si="18"/>
        <v>15.640331422581792</v>
      </c>
      <c r="BS7" s="367">
        <v>1</v>
      </c>
      <c r="BT7" s="83">
        <f t="shared" si="50"/>
        <v>2.2586249999999999</v>
      </c>
      <c r="BU7" s="79">
        <f t="shared" si="19"/>
        <v>6.518049768398862E-2</v>
      </c>
      <c r="BV7" s="112">
        <f t="shared" si="20"/>
        <v>5.1645364495408262E-2</v>
      </c>
      <c r="BW7" s="55">
        <f t="shared" si="21"/>
        <v>-6.0180723255630212E-3</v>
      </c>
      <c r="BX7" s="134">
        <f t="shared" si="22"/>
        <v>4.5627292169845242E-2</v>
      </c>
      <c r="BY7" s="134"/>
      <c r="BZ7" s="391">
        <f>IF(OR($B$29="n",$B$29="p"),0,CL6)</f>
        <v>246.63834320520533</v>
      </c>
      <c r="CA7" s="242">
        <f t="shared" si="23"/>
        <v>172.64684024364371</v>
      </c>
      <c r="CB7" s="242">
        <f>CA7*(1-DD6)</f>
        <v>172.64684024364371</v>
      </c>
      <c r="CC7" s="149">
        <f t="shared" si="51"/>
        <v>206.03184167267491</v>
      </c>
      <c r="CD7" s="17">
        <f t="shared" si="52"/>
        <v>452.67018487788027</v>
      </c>
      <c r="CE7" s="269">
        <f t="shared" si="53"/>
        <v>39.591150304371183</v>
      </c>
      <c r="CF7" s="136">
        <f t="shared" si="24"/>
        <v>413.07903457350909</v>
      </c>
      <c r="CG7" s="246">
        <f>IF($B$33=0,0, IF($B$33=1,Colony!AF7,IF($B$33=2,Colony!AG7,IF($B$33=3,Colony!AH7,IF($B$33=4,Colony!AI7,IF($B$33="X",Colony!AK7,"error"))))))</f>
        <v>0</v>
      </c>
      <c r="CH7" s="138">
        <f t="shared" si="54"/>
        <v>-23.210376022501798</v>
      </c>
      <c r="CI7" s="98">
        <f t="shared" si="62"/>
        <v>-23.210376022501798</v>
      </c>
      <c r="CJ7" s="268">
        <f t="shared" si="55"/>
        <v>389.86865855100729</v>
      </c>
      <c r="CK7" s="136">
        <f t="shared" si="25"/>
        <v>0</v>
      </c>
      <c r="CL7" s="95">
        <f t="shared" si="26"/>
        <v>389.86865855100729</v>
      </c>
      <c r="CM7" s="29">
        <f t="shared" si="56"/>
        <v>3.0107628056768004E-2</v>
      </c>
      <c r="CN7" s="274">
        <f t="shared" si="27"/>
        <v>40589</v>
      </c>
      <c r="CO7" s="89">
        <f t="shared" si="28"/>
        <v>57.405772711893817</v>
      </c>
      <c r="CP7" s="21">
        <f t="shared" si="29"/>
        <v>2.3919071963289093E-3</v>
      </c>
      <c r="CQ7" s="146">
        <f t="shared" si="30"/>
        <v>0.75345076684360646</v>
      </c>
      <c r="CR7" t="str">
        <f t="shared" ref="CR7:CR28" si="67">IF(CR6=100,100,IF(BO5&gt;$AK$37,100,""))</f>
        <v/>
      </c>
      <c r="CS7" t="str">
        <f t="shared" si="63"/>
        <v/>
      </c>
      <c r="CT7">
        <f t="shared" si="64"/>
        <v>0</v>
      </c>
      <c r="CU7" s="17">
        <f t="shared" si="57"/>
        <v>16938.28125</v>
      </c>
      <c r="CV7" s="18">
        <f t="shared" si="58"/>
        <v>4000</v>
      </c>
      <c r="CW7" s="267">
        <f t="shared" si="59"/>
        <v>12938.28125</v>
      </c>
      <c r="CX7" s="267">
        <f t="shared" si="65"/>
        <v>850.73630136986299</v>
      </c>
      <c r="CY7" s="104">
        <f t="shared" si="60"/>
        <v>0.75</v>
      </c>
      <c r="CZ7" s="266">
        <f t="shared" si="61"/>
        <v>23.210376022501798</v>
      </c>
      <c r="DB7" s="17">
        <f t="shared" si="66"/>
        <v>206.03184167267491</v>
      </c>
      <c r="DC7" s="164">
        <v>0</v>
      </c>
      <c r="DD7" s="37">
        <f>DE$59</f>
        <v>0</v>
      </c>
      <c r="DH7" s="2">
        <v>40589</v>
      </c>
      <c r="DI7" s="262">
        <v>42962</v>
      </c>
      <c r="DJ7" s="18"/>
      <c r="DK7" s="251"/>
      <c r="DL7">
        <v>6.3</v>
      </c>
      <c r="DM7" s="18"/>
      <c r="DN7" s="18"/>
      <c r="DO7" s="18"/>
      <c r="DP7" s="18"/>
      <c r="DQ7" s="18"/>
      <c r="DR7" s="18"/>
      <c r="DS7" s="18"/>
      <c r="DT7" s="18"/>
      <c r="DU7" s="18"/>
      <c r="DV7" s="18"/>
      <c r="DW7" s="18"/>
      <c r="DX7" s="18"/>
      <c r="DY7" s="18"/>
      <c r="DZ7" s="18"/>
      <c r="EA7" s="18"/>
      <c r="EB7" s="18"/>
      <c r="EC7" s="18"/>
      <c r="ED7" s="18"/>
      <c r="EE7" s="18"/>
    </row>
    <row r="8" spans="1:135" x14ac:dyDescent="0.2">
      <c r="A8" s="416"/>
      <c r="T8" s="125"/>
      <c r="U8" s="2">
        <f t="shared" si="0"/>
        <v>40603</v>
      </c>
      <c r="V8" s="59">
        <f t="shared" si="31"/>
        <v>389.86865855100729</v>
      </c>
      <c r="W8" s="310">
        <f t="shared" si="32"/>
        <v>2.9019573588238839E-2</v>
      </c>
      <c r="X8" s="235">
        <f t="shared" si="33"/>
        <v>0</v>
      </c>
      <c r="Y8" s="123">
        <f t="shared" si="34"/>
        <v>1.0315422441167832</v>
      </c>
      <c r="Z8" s="4">
        <f t="shared" si="1"/>
        <v>1.2090873524268075E-2</v>
      </c>
      <c r="AA8" s="3">
        <f t="shared" si="2"/>
        <v>0.26878691260437249</v>
      </c>
      <c r="AB8" s="429"/>
      <c r="AC8" s="430"/>
      <c r="AD8" s="430"/>
      <c r="AE8" s="430"/>
      <c r="AF8" s="430"/>
      <c r="AG8" s="430"/>
      <c r="AI8" s="437"/>
      <c r="AJ8" s="274">
        <f t="shared" si="35"/>
        <v>40603</v>
      </c>
      <c r="AK8" s="389">
        <f>IF($B$29="d",Colony!H35,IF($B$29="n",Colony!H63,IF($B$29="p",Colony!H91,IF($B$29="a",Colony!H119,IF($B$29="b",Colony!H147,IF($B$29="c",Colony!H175,IF($B$29="r",Colony!H203,IF($B$29="s",Colony!H231,IF($B$29="f",Colony!H259,"error")))))))))</f>
        <v>16</v>
      </c>
      <c r="AL8">
        <f t="shared" si="3"/>
        <v>32000</v>
      </c>
      <c r="AM8" s="81">
        <f>IF($B$29="d",Colony!F35,IF($B$29="n",Colony!F63,IF($B$29="p",Colony!F91,IF($B$29="a",Colony!F119,IF($B$29="b",Colony!F147,IF($B$29="c",Colony!F175,IF($B$29="r",Colony!F203,IF($B$29="s",Colony!F231,IF($B$29="f",Colony!F259,"error")))))))))</f>
        <v>8</v>
      </c>
      <c r="AN8" s="17">
        <f t="shared" si="4"/>
        <v>36000</v>
      </c>
      <c r="AO8" s="21">
        <f t="shared" si="5"/>
        <v>1.125</v>
      </c>
      <c r="AP8">
        <f t="shared" si="36"/>
        <v>21600</v>
      </c>
      <c r="AQ8" s="18">
        <f t="shared" si="37"/>
        <v>261.16286812419042</v>
      </c>
      <c r="AR8" s="18">
        <f t="shared" si="6"/>
        <v>1800</v>
      </c>
      <c r="AS8" s="142">
        <f t="shared" si="38"/>
        <v>4.4110848217180827</v>
      </c>
      <c r="AT8" s="27">
        <f t="shared" si="7"/>
        <v>16.411084821718084</v>
      </c>
      <c r="AU8" s="32">
        <f t="shared" si="8"/>
        <v>0.26878691260437249</v>
      </c>
      <c r="AV8" s="131">
        <f t="shared" si="9"/>
        <v>0.73121308739562751</v>
      </c>
      <c r="AW8" s="28">
        <f t="shared" si="10"/>
        <v>285.07706549787378</v>
      </c>
      <c r="AX8" s="258">
        <f t="shared" si="11"/>
        <v>21600</v>
      </c>
      <c r="AY8" s="80">
        <f>IF($B$29="d",Colony!J35,IF($B$29="n",Colony!J63,IF($B$29="p",Colony!J91,IF($B$29="a",Colony!J119,IF($B$29="b",Colony!J147,IF($B$29="c",Colony!J175,IF($B$29="r",Colony!J203,IF($B$29="s",Colony!J203,IF($B$29="f",Colony!J259,"error")))))))))</f>
        <v>0.03</v>
      </c>
      <c r="AZ8" s="106">
        <f t="shared" si="39"/>
        <v>1.9199999999999998E-2</v>
      </c>
      <c r="BA8" s="75">
        <f t="shared" si="40"/>
        <v>9.5999999999999988E-2</v>
      </c>
      <c r="BB8" s="102">
        <f t="shared" si="41"/>
        <v>7.0196456389980233E-2</v>
      </c>
      <c r="BC8" s="72">
        <f t="shared" si="12"/>
        <v>27.367398287795879</v>
      </c>
      <c r="BD8" s="73">
        <f t="shared" si="42"/>
        <v>6.5990061457841143E-2</v>
      </c>
      <c r="BE8" s="369">
        <f t="shared" si="43"/>
        <v>6.3859831886087015E-2</v>
      </c>
      <c r="BF8" s="370">
        <f t="shared" si="44"/>
        <v>1.0333578950779894</v>
      </c>
      <c r="BG8" s="73">
        <f t="shared" si="13"/>
        <v>19.411084821718084</v>
      </c>
      <c r="BH8" s="368">
        <v>1</v>
      </c>
      <c r="BI8" s="84">
        <f t="shared" si="14"/>
        <v>4.2749999999999995</v>
      </c>
      <c r="BJ8" s="78">
        <f t="shared" si="45"/>
        <v>9.8493837450082944E-2</v>
      </c>
      <c r="BK8" s="103">
        <f t="shared" si="46"/>
        <v>0.66101663100564734</v>
      </c>
      <c r="BL8" s="71">
        <f t="shared" si="47"/>
        <v>21185.279999999999</v>
      </c>
      <c r="BM8" s="71">
        <f t="shared" si="15"/>
        <v>257.7096672100779</v>
      </c>
      <c r="BN8" s="74">
        <f t="shared" si="16"/>
        <v>1.2164562715719496E-2</v>
      </c>
      <c r="BO8" s="366">
        <f t="shared" si="48"/>
        <v>1.2090873524268075E-2</v>
      </c>
      <c r="BP8" s="368">
        <f t="shared" si="49"/>
        <v>1.006011408513787</v>
      </c>
      <c r="BQ8" s="76">
        <f t="shared" si="17"/>
        <v>0.90400000000000003</v>
      </c>
      <c r="BR8" s="74">
        <f t="shared" si="18"/>
        <v>16.411084821718084</v>
      </c>
      <c r="BS8" s="367">
        <v>1</v>
      </c>
      <c r="BT8" s="83">
        <f t="shared" si="50"/>
        <v>2.2586249999999999</v>
      </c>
      <c r="BU8" s="79">
        <f t="shared" si="19"/>
        <v>6.518049768398862E-2</v>
      </c>
      <c r="BV8" s="112">
        <f t="shared" si="20"/>
        <v>4.9999311351588104E-2</v>
      </c>
      <c r="BW8" s="55">
        <f t="shared" si="21"/>
        <v>-6.0180723255630212E-3</v>
      </c>
      <c r="BX8" s="134">
        <f t="shared" si="22"/>
        <v>4.3981239026025083E-2</v>
      </c>
      <c r="BY8" s="134"/>
      <c r="BZ8" s="391">
        <f>IF(OR($B$29="n",$B$29="p"),0,CL7)</f>
        <v>389.86865855100729</v>
      </c>
      <c r="CA8" s="242">
        <f t="shared" si="23"/>
        <v>272.90806098570511</v>
      </c>
      <c r="CB8" s="242">
        <f t="shared" ref="CB8:CB27" si="68">CA8*(1-DD7)</f>
        <v>272.90806098570511</v>
      </c>
      <c r="CC8" s="149">
        <f t="shared" si="51"/>
        <v>310.88183969449665</v>
      </c>
      <c r="CD8" s="17">
        <f t="shared" si="52"/>
        <v>700.75049824550388</v>
      </c>
      <c r="CE8" s="269">
        <f t="shared" si="53"/>
        <v>61.288592067059312</v>
      </c>
      <c r="CF8" s="136">
        <f t="shared" si="24"/>
        <v>639.46190617844456</v>
      </c>
      <c r="CG8" s="246">
        <f>IF($B$33=0,0, IF($B$33=1,Colony!AF8,IF($B$33=2,Colony!AG8,IF($B$33=3,Colony!AH8,IF($B$33=4,Colony!AI8,IF($B$33="X",Colony!AK8,"error"))))))</f>
        <v>0</v>
      </c>
      <c r="CH8" s="138">
        <f t="shared" si="54"/>
        <v>-33.298705551344227</v>
      </c>
      <c r="CI8" s="98">
        <f t="shared" si="62"/>
        <v>-33.298705551344227</v>
      </c>
      <c r="CJ8" s="268">
        <f t="shared" si="55"/>
        <v>606.16320062710031</v>
      </c>
      <c r="CK8" s="136">
        <f t="shared" si="25"/>
        <v>0</v>
      </c>
      <c r="CL8" s="95">
        <f t="shared" si="26"/>
        <v>606.16320062710031</v>
      </c>
      <c r="CM8" s="29">
        <f t="shared" si="56"/>
        <v>2.9019573588238839E-2</v>
      </c>
      <c r="CN8" s="274">
        <f t="shared" si="27"/>
        <v>40603</v>
      </c>
      <c r="CO8" s="89">
        <f t="shared" si="28"/>
        <v>104.79159305313354</v>
      </c>
      <c r="CP8" s="21">
        <f t="shared" si="29"/>
        <v>3.2747372829104232E-3</v>
      </c>
      <c r="CQ8" s="146">
        <f t="shared" si="30"/>
        <v>1.0315422441167832</v>
      </c>
      <c r="CR8" t="str">
        <f t="shared" si="67"/>
        <v/>
      </c>
      <c r="CS8" t="str">
        <f t="shared" si="63"/>
        <v/>
      </c>
      <c r="CT8">
        <f t="shared" si="64"/>
        <v>0</v>
      </c>
      <c r="CU8" s="17">
        <f t="shared" si="57"/>
        <v>21557.8125</v>
      </c>
      <c r="CV8" s="18">
        <f t="shared" si="58"/>
        <v>8000</v>
      </c>
      <c r="CW8" s="267">
        <f t="shared" si="59"/>
        <v>13557.8125</v>
      </c>
      <c r="CX8" s="267">
        <f t="shared" si="65"/>
        <v>891.47260273972597</v>
      </c>
      <c r="CY8" s="104">
        <f t="shared" si="60"/>
        <v>0.75</v>
      </c>
      <c r="CZ8" s="266">
        <f t="shared" si="61"/>
        <v>33.298705551344227</v>
      </c>
      <c r="DB8" s="17">
        <f t="shared" si="66"/>
        <v>310.88183969449665</v>
      </c>
      <c r="DC8" s="164">
        <v>0</v>
      </c>
      <c r="DD8" s="37">
        <f>DF$59</f>
        <v>0</v>
      </c>
      <c r="DH8" s="2">
        <v>40603</v>
      </c>
      <c r="DI8" s="262">
        <v>42979</v>
      </c>
      <c r="DK8" s="251"/>
    </row>
    <row r="9" spans="1:135" ht="12.75" customHeight="1" x14ac:dyDescent="0.2">
      <c r="A9" s="416"/>
      <c r="T9" s="125">
        <v>0.95</v>
      </c>
      <c r="U9" s="2">
        <f t="shared" si="0"/>
        <v>40617</v>
      </c>
      <c r="V9" s="59">
        <f t="shared" si="31"/>
        <v>606.16320062710031</v>
      </c>
      <c r="W9" s="310">
        <f t="shared" si="32"/>
        <v>-0.16446002414326999</v>
      </c>
      <c r="X9" s="235">
        <f t="shared" si="33"/>
        <v>0</v>
      </c>
      <c r="Y9" s="123">
        <f t="shared" si="34"/>
        <v>1.283063789943677</v>
      </c>
      <c r="Z9" s="4">
        <f t="shared" si="1"/>
        <v>1.2790153491256118E-2</v>
      </c>
      <c r="AA9" s="3">
        <f t="shared" si="2"/>
        <v>0.26878691260437249</v>
      </c>
      <c r="AB9" s="428">
        <v>90</v>
      </c>
      <c r="AC9" s="431" t="s">
        <v>329</v>
      </c>
      <c r="AD9" s="432"/>
      <c r="AE9" s="432"/>
      <c r="AF9" s="432"/>
      <c r="AG9" s="433"/>
      <c r="AI9" s="437"/>
      <c r="AJ9" s="274">
        <f t="shared" si="35"/>
        <v>40617</v>
      </c>
      <c r="AK9" s="389">
        <f>IF($B$29="d",Colony!H36,IF($B$29="n",Colony!H64,IF($B$29="p",Colony!H92,IF($B$29="a",Colony!H120,IF($B$29="b",Colony!H148,IF($B$29="c",Colony!H176,IF($B$29="r",Colony!H204,IF($B$29="s",Colony!H232,IF($B$29="f",Colony!H260,"error")))))))))</f>
        <v>20</v>
      </c>
      <c r="AL9">
        <f t="shared" si="3"/>
        <v>40000</v>
      </c>
      <c r="AM9" s="81">
        <f>IF($B$29="d",Colony!F36,IF($B$29="n",Colony!F64,IF($B$29="p",Colony!F92,IF($B$29="a",Colony!F120,IF($B$29="b",Colony!F148,IF($B$29="c",Colony!F176,IF($B$29="r",Colony!F204,IF($B$29="s",Colony!F232,IF($B$29="f",Colony!F260,"error")))))))))</f>
        <v>10</v>
      </c>
      <c r="AN9" s="17">
        <f t="shared" si="4"/>
        <v>45000</v>
      </c>
      <c r="AO9" s="21">
        <f t="shared" si="5"/>
        <v>1.125</v>
      </c>
      <c r="AP9">
        <f t="shared" si="36"/>
        <v>27000</v>
      </c>
      <c r="AQ9" s="18">
        <f t="shared" si="37"/>
        <v>345.33414426391516</v>
      </c>
      <c r="AR9" s="18">
        <f t="shared" si="6"/>
        <v>2250</v>
      </c>
      <c r="AS9" s="142">
        <f t="shared" si="38"/>
        <v>4.4110848217180827</v>
      </c>
      <c r="AT9" s="27">
        <f t="shared" si="7"/>
        <v>16.411084821718084</v>
      </c>
      <c r="AU9" s="32">
        <f t="shared" si="8"/>
        <v>0.26878691260437249</v>
      </c>
      <c r="AV9" s="131">
        <f t="shared" si="9"/>
        <v>0.73121308739562751</v>
      </c>
      <c r="AW9" s="28">
        <f t="shared" si="10"/>
        <v>443.23446539615719</v>
      </c>
      <c r="AX9" s="258">
        <f t="shared" si="11"/>
        <v>27000</v>
      </c>
      <c r="AY9" s="80">
        <f>IF($B$29="d",Colony!J36,IF($B$29="n",Colony!J64,IF($B$29="p",Colony!J92,IF($B$29="a",Colony!J120,IF($B$29="b",Colony!J148,IF($B$29="c",Colony!J176,IF($B$29="r",Colony!J204,IF($B$29="s",Colony!J204,IF($B$29="f",Colony!J260,"error")))))))))</f>
        <v>0.08</v>
      </c>
      <c r="AZ9" s="106">
        <f t="shared" si="39"/>
        <v>5.1200000000000002E-2</v>
      </c>
      <c r="BA9" s="75">
        <f t="shared" si="40"/>
        <v>0.25600000000000001</v>
      </c>
      <c r="BB9" s="102">
        <f t="shared" si="41"/>
        <v>0.18719055037328064</v>
      </c>
      <c r="BC9" s="72">
        <f t="shared" si="12"/>
        <v>113.46802314141624</v>
      </c>
      <c r="BD9" s="73">
        <f t="shared" si="42"/>
        <v>8.2080456554843917E-2</v>
      </c>
      <c r="BE9" s="369">
        <f t="shared" si="43"/>
        <v>7.8802160689787182E-2</v>
      </c>
      <c r="BF9" s="370">
        <f t="shared" si="44"/>
        <v>1.0416015986917171</v>
      </c>
      <c r="BG9" s="73">
        <f t="shared" si="13"/>
        <v>19.411084821718084</v>
      </c>
      <c r="BH9" s="368">
        <v>1</v>
      </c>
      <c r="BI9" s="84">
        <f t="shared" si="14"/>
        <v>4.2749999999999995</v>
      </c>
      <c r="BJ9" s="78">
        <f t="shared" si="45"/>
        <v>9.8493837450082944E-2</v>
      </c>
      <c r="BK9" s="103">
        <f t="shared" si="46"/>
        <v>0.54402253702234682</v>
      </c>
      <c r="BL9" s="71">
        <f t="shared" si="47"/>
        <v>25617.599999999999</v>
      </c>
      <c r="BM9" s="71">
        <f t="shared" si="15"/>
        <v>329.76644225474092</v>
      </c>
      <c r="BN9" s="74">
        <f t="shared" si="16"/>
        <v>1.2872651702530328E-2</v>
      </c>
      <c r="BO9" s="366">
        <f t="shared" si="48"/>
        <v>1.2790153491256118E-2</v>
      </c>
      <c r="BP9" s="368">
        <f t="shared" si="49"/>
        <v>1.0063714512791924</v>
      </c>
      <c r="BQ9" s="76">
        <f t="shared" si="17"/>
        <v>0.74399999999999999</v>
      </c>
      <c r="BR9" s="74">
        <f t="shared" si="18"/>
        <v>16.411084821718084</v>
      </c>
      <c r="BS9" s="367">
        <v>1</v>
      </c>
      <c r="BT9" s="83">
        <f t="shared" si="50"/>
        <v>2.2586249999999999</v>
      </c>
      <c r="BU9" s="79">
        <f t="shared" si="19"/>
        <v>6.518049768398862E-2</v>
      </c>
      <c r="BV9" s="112">
        <f t="shared" si="20"/>
        <v>5.3896775355080154E-2</v>
      </c>
      <c r="BW9" s="55">
        <f t="shared" si="21"/>
        <v>-6.0180723255630212E-3</v>
      </c>
      <c r="BX9" s="134">
        <f t="shared" si="22"/>
        <v>4.7878703029517133E-2</v>
      </c>
      <c r="BY9" s="134"/>
      <c r="BZ9" s="391">
        <f>IF(OR($B$29="n",$B$29="p"),0,CL8)</f>
        <v>606.16320062710031</v>
      </c>
      <c r="CA9" s="242">
        <f t="shared" si="23"/>
        <v>424.31424043897022</v>
      </c>
      <c r="CB9" s="242">
        <f t="shared" si="68"/>
        <v>424.31424043897022</v>
      </c>
      <c r="CC9" s="149">
        <f t="shared" si="51"/>
        <v>538.78305370093926</v>
      </c>
      <c r="CD9" s="17">
        <f t="shared" si="52"/>
        <v>1144.9462543280397</v>
      </c>
      <c r="CE9" s="269">
        <f t="shared" si="53"/>
        <v>100.13855729808483</v>
      </c>
      <c r="CF9" s="136">
        <f t="shared" si="24"/>
        <v>1044.8076970299549</v>
      </c>
      <c r="CG9" s="246">
        <f>IF($B$33=0,0, IF($B$33=1,Colony!AF9,IF($B$33=2,Colony!AG9,IF($B$33=3,Colony!AH9,IF($B$33=4,Colony!AI9,IF($B$33="X",Colony!AK9,"error"))))))</f>
        <v>0</v>
      </c>
      <c r="CH9" s="138">
        <f t="shared" si="54"/>
        <v>-50.8261281075903</v>
      </c>
      <c r="CI9" s="98">
        <f t="shared" si="62"/>
        <v>-50.8261281075903</v>
      </c>
      <c r="CJ9" s="268">
        <f t="shared" si="55"/>
        <v>993.98156892236454</v>
      </c>
      <c r="CK9" s="136">
        <f t="shared" si="25"/>
        <v>944.28249047624627</v>
      </c>
      <c r="CL9" s="95">
        <f t="shared" si="26"/>
        <v>49.699078446118278</v>
      </c>
      <c r="CM9" s="29">
        <f t="shared" si="56"/>
        <v>-0.16446002414326999</v>
      </c>
      <c r="CN9" s="274">
        <f t="shared" si="27"/>
        <v>40617</v>
      </c>
      <c r="CO9" s="89">
        <f t="shared" si="28"/>
        <v>162.92873523094312</v>
      </c>
      <c r="CP9" s="21">
        <f t="shared" si="29"/>
        <v>4.0732183807735776E-3</v>
      </c>
      <c r="CQ9" s="146">
        <f t="shared" si="30"/>
        <v>1.283063789943677</v>
      </c>
      <c r="CR9" t="str">
        <f t="shared" si="67"/>
        <v/>
      </c>
      <c r="CS9" t="str">
        <f t="shared" si="63"/>
        <v/>
      </c>
      <c r="CT9">
        <f t="shared" si="64"/>
        <v>0</v>
      </c>
      <c r="CU9" s="17">
        <f t="shared" si="57"/>
        <v>24637.5</v>
      </c>
      <c r="CV9" s="18">
        <f t="shared" si="58"/>
        <v>8000</v>
      </c>
      <c r="CW9" s="267">
        <f t="shared" si="59"/>
        <v>16637.5</v>
      </c>
      <c r="CX9" s="267">
        <f t="shared" si="65"/>
        <v>1093.972602739726</v>
      </c>
      <c r="CY9" s="104">
        <f t="shared" si="60"/>
        <v>0.75</v>
      </c>
      <c r="CZ9" s="266">
        <f t="shared" si="61"/>
        <v>50.8261281075903</v>
      </c>
      <c r="DB9" s="17">
        <f t="shared" si="66"/>
        <v>538.78305370093926</v>
      </c>
      <c r="DC9" s="165">
        <f>DH$57</f>
        <v>63.67644803087736</v>
      </c>
      <c r="DD9" s="37">
        <f>DG$59</f>
        <v>0</v>
      </c>
      <c r="DH9" s="2">
        <v>40617</v>
      </c>
      <c r="DI9" s="262">
        <v>42993</v>
      </c>
      <c r="DK9" s="251"/>
      <c r="DL9">
        <v>10.08</v>
      </c>
    </row>
    <row r="10" spans="1:135" x14ac:dyDescent="0.2">
      <c r="A10" s="416"/>
      <c r="T10" s="125"/>
      <c r="U10" s="2">
        <f t="shared" si="0"/>
        <v>40634</v>
      </c>
      <c r="V10" s="59">
        <f t="shared" si="31"/>
        <v>49.699078446118278</v>
      </c>
      <c r="W10" s="310">
        <f t="shared" si="32"/>
        <v>3.3506768452366428E-2</v>
      </c>
      <c r="X10" s="235">
        <f t="shared" si="33"/>
        <v>0</v>
      </c>
      <c r="Y10" s="123">
        <f t="shared" si="34"/>
        <v>0.35346384119733759</v>
      </c>
      <c r="Z10" s="4">
        <f t="shared" si="1"/>
        <v>3.4451758588845971E-3</v>
      </c>
      <c r="AA10" s="3">
        <f t="shared" si="2"/>
        <v>0.22578032982825699</v>
      </c>
      <c r="AB10" s="429"/>
      <c r="AC10" s="434"/>
      <c r="AD10" s="435"/>
      <c r="AE10" s="435"/>
      <c r="AF10" s="435"/>
      <c r="AG10" s="436"/>
      <c r="AI10" s="437"/>
      <c r="AJ10" s="274">
        <f t="shared" si="35"/>
        <v>40634</v>
      </c>
      <c r="AK10" s="389">
        <f>IF($B$29="d",Colony!H37,IF($B$29="n",Colony!H65,IF($B$29="p",Colony!H93,IF($B$29="a",Colony!H121,IF($B$29="b",Colony!H149,IF($B$29="c",Colony!H177,IF($B$29="r",Colony!H205,IF($B$29="s",Colony!H233,IF($B$29="f",Colony!H261,"error")))))))))</f>
        <v>5</v>
      </c>
      <c r="AL10">
        <f t="shared" si="3"/>
        <v>10000</v>
      </c>
      <c r="AM10" s="81">
        <f>IF($B$29="d",Colony!F37,IF($B$29="n",Colony!F65,IF($B$29="p",Colony!F93,IF($B$29="a",Colony!F121,IF($B$29="b",Colony!F149,IF($B$29="c",Colony!F177,IF($B$29="r",Colony!F205,IF($B$29="s",Colony!F233,IF($B$29="f",Colony!F261,"error")))))))))</f>
        <v>3</v>
      </c>
      <c r="AN10" s="17">
        <f t="shared" si="4"/>
        <v>13500</v>
      </c>
      <c r="AO10" s="21">
        <f t="shared" si="5"/>
        <v>1.35</v>
      </c>
      <c r="AP10">
        <f t="shared" si="36"/>
        <v>8100</v>
      </c>
      <c r="AQ10" s="18">
        <f t="shared" si="37"/>
        <v>27.905924456965238</v>
      </c>
      <c r="AR10" s="18">
        <f t="shared" si="6"/>
        <v>675</v>
      </c>
      <c r="AS10" s="142">
        <f t="shared" si="38"/>
        <v>3.4994770377483091</v>
      </c>
      <c r="AT10" s="27">
        <f t="shared" si="7"/>
        <v>15.49947703774831</v>
      </c>
      <c r="AU10" s="32">
        <f t="shared" si="8"/>
        <v>0.22578032982825699</v>
      </c>
      <c r="AV10" s="131">
        <f t="shared" si="9"/>
        <v>0.77421967017174298</v>
      </c>
      <c r="AW10" s="28">
        <f t="shared" si="10"/>
        <v>38.478004122393273</v>
      </c>
      <c r="AX10" s="258">
        <f t="shared" si="11"/>
        <v>8100</v>
      </c>
      <c r="AY10" s="80">
        <f>IF($B$29="d",Colony!J37,IF($B$29="n",Colony!J65,IF($B$29="p",Colony!J93,IF($B$29="a",Colony!J121,IF($B$29="b",Colony!J149,IF($B$29="c",Colony!J177,IF($B$29="r",Colony!J205,IF($B$29="s",Colony!J205,IF($B$29="f",Colony!J261,"error")))))))))</f>
        <v>0.1</v>
      </c>
      <c r="AZ10" s="106">
        <f t="shared" si="39"/>
        <v>6.4000000000000001E-2</v>
      </c>
      <c r="BA10" s="75">
        <f t="shared" si="40"/>
        <v>0.32</v>
      </c>
      <c r="BB10" s="102">
        <f t="shared" si="41"/>
        <v>0.24775029445495775</v>
      </c>
      <c r="BC10" s="72">
        <f t="shared" si="12"/>
        <v>12.312961319165847</v>
      </c>
      <c r="BD10" s="73">
        <f t="shared" si="42"/>
        <v>2.3751854396539058E-2</v>
      </c>
      <c r="BE10" s="369">
        <f t="shared" si="43"/>
        <v>2.347199917500431E-2</v>
      </c>
      <c r="BF10" s="370">
        <f t="shared" si="44"/>
        <v>1.0119229393051772</v>
      </c>
      <c r="BG10" s="73">
        <f t="shared" si="13"/>
        <v>18.49947703774831</v>
      </c>
      <c r="BH10" s="368">
        <v>1</v>
      </c>
      <c r="BI10" s="84">
        <f t="shared" si="14"/>
        <v>4.2749999999999995</v>
      </c>
      <c r="BJ10" s="78">
        <f t="shared" si="45"/>
        <v>9.8493837450082944E-2</v>
      </c>
      <c r="BK10" s="103">
        <f t="shared" si="46"/>
        <v>0.5264693757167852</v>
      </c>
      <c r="BL10" s="71">
        <f t="shared" si="47"/>
        <v>7581.5999999999995</v>
      </c>
      <c r="BM10" s="71">
        <f t="shared" si="15"/>
        <v>26.165042803227426</v>
      </c>
      <c r="BN10" s="74">
        <f t="shared" si="16"/>
        <v>3.4511241430868716E-3</v>
      </c>
      <c r="BO10" s="366">
        <f t="shared" si="48"/>
        <v>3.4451758588845971E-3</v>
      </c>
      <c r="BP10" s="368">
        <f t="shared" si="49"/>
        <v>1.0014358768689988</v>
      </c>
      <c r="BQ10" s="76">
        <f t="shared" si="17"/>
        <v>0.67999999999999994</v>
      </c>
      <c r="BR10" s="74">
        <f t="shared" si="18"/>
        <v>15.49947703774831</v>
      </c>
      <c r="BS10" s="367">
        <v>1</v>
      </c>
      <c r="BT10" s="83">
        <f t="shared" si="50"/>
        <v>2.2586249999999999</v>
      </c>
      <c r="BU10" s="79">
        <f t="shared" si="19"/>
        <v>6.518049768398862E-2</v>
      </c>
      <c r="BV10" s="112">
        <f t="shared" si="20"/>
        <v>5.8717413154855645E-2</v>
      </c>
      <c r="BW10" s="55">
        <f t="shared" si="21"/>
        <v>-6.0180723255630212E-3</v>
      </c>
      <c r="BX10" s="134">
        <f t="shared" si="22"/>
        <v>5.2699340829292625E-2</v>
      </c>
      <c r="BY10" s="134"/>
      <c r="BZ10" s="392">
        <f>IF(OR($B$29="n",$B$29="p"),B31,CL9)</f>
        <v>49.699078446118278</v>
      </c>
      <c r="CA10" s="242">
        <f t="shared" si="23"/>
        <v>34.789354912282789</v>
      </c>
      <c r="CB10" s="392">
        <f>IF(OR($B$29="n",$B$29="p"),(CA10*(1-0.5)),(CA10*(1-DD9)))</f>
        <v>34.789354912282789</v>
      </c>
      <c r="CC10" s="149">
        <f t="shared" si="51"/>
        <v>50.181255631221177</v>
      </c>
      <c r="CD10" s="17">
        <f t="shared" si="52"/>
        <v>99.880334077339455</v>
      </c>
      <c r="CE10" s="269">
        <f t="shared" si="53"/>
        <v>8.7356699226249077</v>
      </c>
      <c r="CF10" s="136">
        <f t="shared" si="24"/>
        <v>91.144664154714548</v>
      </c>
      <c r="CG10" s="246">
        <f>IF($B$33=0,0, IF($B$33=1,Colony!AF10,IF($B$33=2,Colony!AG10,IF($B$33=3,Colony!AH10,IF($B$33=4,Colony!AI10,IF($B$33="X",Colony!AK10,"error"))))))</f>
        <v>0</v>
      </c>
      <c r="CH10" s="138">
        <f t="shared" si="54"/>
        <v>-8.4158057427937507</v>
      </c>
      <c r="CI10" s="98">
        <f t="shared" si="62"/>
        <v>-8.4158057427937507</v>
      </c>
      <c r="CJ10" s="268">
        <f t="shared" si="55"/>
        <v>82.728858411920797</v>
      </c>
      <c r="CK10" s="136">
        <f t="shared" si="25"/>
        <v>0</v>
      </c>
      <c r="CL10" s="95">
        <f t="shared" si="26"/>
        <v>82.728858411920797</v>
      </c>
      <c r="CM10" s="29">
        <f t="shared" si="56"/>
        <v>3.3506768452366428E-2</v>
      </c>
      <c r="CN10" s="274">
        <f t="shared" si="27"/>
        <v>40634</v>
      </c>
      <c r="CO10" s="89">
        <f t="shared" si="28"/>
        <v>11.221074323725002</v>
      </c>
      <c r="CP10" s="21">
        <f t="shared" si="29"/>
        <v>1.1221074323725002E-3</v>
      </c>
      <c r="CQ10" s="146">
        <f t="shared" si="30"/>
        <v>0.35346384119733759</v>
      </c>
      <c r="CR10" t="str">
        <f t="shared" si="67"/>
        <v/>
      </c>
      <c r="CS10" t="str">
        <f t="shared" si="63"/>
        <v/>
      </c>
      <c r="CT10">
        <f t="shared" si="64"/>
        <v>0</v>
      </c>
      <c r="CU10" s="17">
        <f t="shared" si="57"/>
        <v>30796.875</v>
      </c>
      <c r="CV10" s="18">
        <f t="shared" si="58"/>
        <v>-30000</v>
      </c>
      <c r="CW10" s="267">
        <f t="shared" si="59"/>
        <v>60796.875</v>
      </c>
      <c r="CX10" s="267">
        <f t="shared" si="65"/>
        <v>3997.6027397260273</v>
      </c>
      <c r="CY10" s="104">
        <f t="shared" si="60"/>
        <v>0.75</v>
      </c>
      <c r="CZ10" s="266">
        <f t="shared" si="61"/>
        <v>51.16546897689139</v>
      </c>
      <c r="DB10" s="17">
        <f t="shared" si="66"/>
        <v>50.181255631221177</v>
      </c>
      <c r="DC10" s="165">
        <f>DI$57</f>
        <v>4.2694976555750728</v>
      </c>
      <c r="DD10" s="393">
        <f>IF(OR($B$29="n",$B$29="p"),0.15,DH59)</f>
        <v>5.3801623567036522E-2</v>
      </c>
      <c r="DH10" s="2">
        <v>40634</v>
      </c>
      <c r="DI10" s="262">
        <v>43009</v>
      </c>
      <c r="DK10" s="251"/>
    </row>
    <row r="11" spans="1:135" ht="12.75" customHeight="1" x14ac:dyDescent="0.2">
      <c r="A11" s="416"/>
      <c r="T11" s="125"/>
      <c r="U11" s="2">
        <f t="shared" si="0"/>
        <v>40648</v>
      </c>
      <c r="V11" s="59">
        <f t="shared" si="31"/>
        <v>82.728858411920797</v>
      </c>
      <c r="W11" s="310">
        <f t="shared" si="32"/>
        <v>2.5341986831950308E-2</v>
      </c>
      <c r="X11" s="235">
        <f t="shared" si="33"/>
        <v>0</v>
      </c>
      <c r="Y11" s="123">
        <f t="shared" si="34"/>
        <v>0.58837429156459742</v>
      </c>
      <c r="Z11" s="4">
        <f t="shared" si="1"/>
        <v>7.6741135753986001E-3</v>
      </c>
      <c r="AA11" s="3">
        <f t="shared" si="2"/>
        <v>0.22578032982825699</v>
      </c>
      <c r="AB11" s="428">
        <v>50</v>
      </c>
      <c r="AC11" s="430" t="s">
        <v>330</v>
      </c>
      <c r="AD11" s="430"/>
      <c r="AE11" s="430"/>
      <c r="AF11" s="430"/>
      <c r="AG11" s="430"/>
      <c r="AI11" s="437"/>
      <c r="AJ11" s="274">
        <f t="shared" si="35"/>
        <v>40648</v>
      </c>
      <c r="AK11" s="389">
        <f>IF($B$29="d",Colony!H38,IF($B$29="n",Colony!H66,IF($B$29="p",Colony!H94,IF($B$29="a",Colony!H122,IF($B$29="b",Colony!H150,IF($B$29="c",Colony!H178,IF($B$29="r",Colony!H206,IF($B$29="s",Colony!H234,IF($B$29="f",Colony!H262,"error")))))))))</f>
        <v>5</v>
      </c>
      <c r="AL11">
        <f t="shared" si="3"/>
        <v>10000</v>
      </c>
      <c r="AM11" s="81">
        <f>IF($B$29="d",Colony!F38,IF($B$29="n",Colony!F66,IF($B$29="p",Colony!F94,IF($B$29="a",Colony!F122,IF($B$29="b",Colony!F150,IF($B$29="c",Colony!F178,IF($B$29="r",Colony!F206,IF($B$29="s",Colony!F234,IF($B$29="f",Colony!F262,"error")))))))))</f>
        <v>3</v>
      </c>
      <c r="AN11" s="17">
        <f t="shared" si="4"/>
        <v>13500</v>
      </c>
      <c r="AO11" s="21">
        <f t="shared" si="5"/>
        <v>1.35</v>
      </c>
      <c r="AP11">
        <f t="shared" si="36"/>
        <v>8100</v>
      </c>
      <c r="AQ11" s="18">
        <f t="shared" si="37"/>
        <v>62.160319960728657</v>
      </c>
      <c r="AR11" s="18">
        <f t="shared" si="6"/>
        <v>675</v>
      </c>
      <c r="AS11" s="142">
        <f t="shared" si="38"/>
        <v>3.4994770377483091</v>
      </c>
      <c r="AT11" s="27">
        <f t="shared" si="7"/>
        <v>15.49947703774831</v>
      </c>
      <c r="AU11" s="32">
        <f t="shared" si="8"/>
        <v>0.22578032982825699</v>
      </c>
      <c r="AV11" s="131">
        <f t="shared" si="9"/>
        <v>0.77421967017174298</v>
      </c>
      <c r="AW11" s="28">
        <f t="shared" si="10"/>
        <v>64.050309473362148</v>
      </c>
      <c r="AX11" s="258">
        <f t="shared" si="11"/>
        <v>8100</v>
      </c>
      <c r="AY11" s="80">
        <f>IF($B$29="d",Colony!J38,IF($B$29="n",Colony!J66,IF($B$29="p",Colony!J94,IF($B$29="a",Colony!J122,IF($B$29="b",Colony!J150,IF($B$29="c",Colony!J178,IF($B$29="r",Colony!J206,IF($B$29="s",Colony!J206,IF($B$29="f",Colony!J262,"error")))))))))</f>
        <v>0.01</v>
      </c>
      <c r="AZ11" s="106">
        <f t="shared" si="39"/>
        <v>6.4000000000000003E-3</v>
      </c>
      <c r="BA11" s="75">
        <f t="shared" si="40"/>
        <v>3.2000000000000001E-2</v>
      </c>
      <c r="BB11" s="102">
        <f t="shared" si="41"/>
        <v>2.4775029445495776E-2</v>
      </c>
      <c r="BC11" s="72">
        <f t="shared" si="12"/>
        <v>2.049609903147589</v>
      </c>
      <c r="BD11" s="73">
        <f t="shared" si="42"/>
        <v>3.9537228069976636E-2</v>
      </c>
      <c r="BE11" s="369">
        <f t="shared" si="43"/>
        <v>3.8765831568397635E-2</v>
      </c>
      <c r="BF11" s="370">
        <f t="shared" si="44"/>
        <v>1.0198988766748873</v>
      </c>
      <c r="BG11" s="73">
        <f t="shared" si="13"/>
        <v>18.49947703774831</v>
      </c>
      <c r="BH11" s="368">
        <v>1</v>
      </c>
      <c r="BI11" s="84">
        <f t="shared" si="14"/>
        <v>4.2749999999999995</v>
      </c>
      <c r="BJ11" s="78">
        <f t="shared" si="45"/>
        <v>9.8493837450082944E-2</v>
      </c>
      <c r="BK11" s="103">
        <f t="shared" si="46"/>
        <v>0.74944464072624717</v>
      </c>
      <c r="BL11" s="71">
        <f t="shared" si="47"/>
        <v>8048.1600000000008</v>
      </c>
      <c r="BM11" s="71">
        <f t="shared" si="15"/>
        <v>62.000699570214557</v>
      </c>
      <c r="BN11" s="74">
        <f t="shared" si="16"/>
        <v>7.7037111054221773E-3</v>
      </c>
      <c r="BO11" s="366">
        <f t="shared" si="48"/>
        <v>7.6741135753986001E-3</v>
      </c>
      <c r="BP11" s="368">
        <f t="shared" si="49"/>
        <v>1.0037260074059675</v>
      </c>
      <c r="BQ11" s="76">
        <f t="shared" si="17"/>
        <v>0.96799999999999997</v>
      </c>
      <c r="BR11" s="74">
        <f t="shared" si="18"/>
        <v>15.49947703774831</v>
      </c>
      <c r="BS11" s="367">
        <v>1</v>
      </c>
      <c r="BT11" s="83">
        <f t="shared" si="50"/>
        <v>2.2586249999999999</v>
      </c>
      <c r="BU11" s="79">
        <f t="shared" si="19"/>
        <v>6.518049768398862E-2</v>
      </c>
      <c r="BV11" s="112">
        <f t="shared" si="20"/>
        <v>5.1289362392160517E-2</v>
      </c>
      <c r="BW11" s="55">
        <f t="shared" si="21"/>
        <v>-6.0180723255630212E-3</v>
      </c>
      <c r="BX11" s="134">
        <f t="shared" si="22"/>
        <v>4.5271290066597497E-2</v>
      </c>
      <c r="BY11" s="134"/>
      <c r="BZ11" s="391">
        <f>CL10</f>
        <v>82.728858411920797</v>
      </c>
      <c r="CA11" s="242">
        <f t="shared" si="23"/>
        <v>57.910200888344555</v>
      </c>
      <c r="CB11" s="392">
        <f>IF(OR($B$29="n",$B$29="p"),(CA11*(1-0.25)),(CA11*(1-DD10)))</f>
        <v>54.794538059458375</v>
      </c>
      <c r="CC11" s="149">
        <f t="shared" si="51"/>
        <v>64.741301406116037</v>
      </c>
      <c r="CD11" s="17">
        <f t="shared" si="52"/>
        <v>147.47015981803685</v>
      </c>
      <c r="CE11" s="269">
        <f t="shared" si="53"/>
        <v>12.897940835976698</v>
      </c>
      <c r="CF11" s="136">
        <f t="shared" si="24"/>
        <v>134.57221898206015</v>
      </c>
      <c r="CG11" s="246">
        <f>IF($B$33=0,0, IF($B$33=1,Colony!AF11,IF($B$33=2,Colony!AG11,IF($B$33=3,Colony!AH11,IF($B$33=4,Colony!AI11,IF($B$33="X",Colony!AK11,"error"))))))</f>
        <v>0</v>
      </c>
      <c r="CH11" s="138">
        <f t="shared" si="54"/>
        <v>-12.942921078948901</v>
      </c>
      <c r="CI11" s="98">
        <f t="shared" si="62"/>
        <v>-12.942921078948901</v>
      </c>
      <c r="CJ11" s="268">
        <f t="shared" si="55"/>
        <v>121.62929790311125</v>
      </c>
      <c r="CK11" s="136">
        <f t="shared" si="25"/>
        <v>0</v>
      </c>
      <c r="CL11" s="95">
        <f t="shared" si="26"/>
        <v>121.62929790311125</v>
      </c>
      <c r="CM11" s="29">
        <f t="shared" si="56"/>
        <v>2.5341986831950308E-2</v>
      </c>
      <c r="CN11" s="274">
        <f t="shared" si="27"/>
        <v>40648</v>
      </c>
      <c r="CO11" s="89">
        <f t="shared" si="28"/>
        <v>18.678548938558649</v>
      </c>
      <c r="CP11" s="21">
        <f t="shared" si="29"/>
        <v>1.8678548938558649E-3</v>
      </c>
      <c r="CQ11" s="146">
        <f t="shared" si="30"/>
        <v>0.58837429156459742</v>
      </c>
      <c r="CR11" t="str">
        <f t="shared" si="67"/>
        <v/>
      </c>
      <c r="CS11" t="str">
        <f t="shared" si="63"/>
        <v/>
      </c>
      <c r="CT11">
        <f t="shared" si="64"/>
        <v>0</v>
      </c>
      <c r="CU11" s="17">
        <f t="shared" si="57"/>
        <v>9239.0625</v>
      </c>
      <c r="CV11" s="18">
        <f t="shared" si="58"/>
        <v>0</v>
      </c>
      <c r="CW11" s="267">
        <f t="shared" si="59"/>
        <v>9239.0625</v>
      </c>
      <c r="CX11" s="267">
        <f t="shared" si="65"/>
        <v>607.5</v>
      </c>
      <c r="CY11" s="104">
        <f t="shared" si="60"/>
        <v>0.75</v>
      </c>
      <c r="CZ11" s="266">
        <f t="shared" si="61"/>
        <v>12.942921078948901</v>
      </c>
      <c r="DB11" s="17">
        <f t="shared" si="66"/>
        <v>64.741301406116037</v>
      </c>
      <c r="DC11" s="165">
        <f>DJ$57</f>
        <v>7.8769934127943397</v>
      </c>
      <c r="DD11" s="37">
        <f>DI$59</f>
        <v>4.0954270442935432E-2</v>
      </c>
      <c r="DH11" s="2">
        <v>40648</v>
      </c>
      <c r="DI11" s="262">
        <v>43023</v>
      </c>
      <c r="DK11" s="251">
        <v>0.62</v>
      </c>
      <c r="DL11">
        <v>7.875</v>
      </c>
    </row>
    <row r="12" spans="1:135" x14ac:dyDescent="0.2">
      <c r="A12" s="416"/>
      <c r="T12" s="125"/>
      <c r="U12" s="2">
        <f t="shared" si="0"/>
        <v>40664</v>
      </c>
      <c r="V12" s="59">
        <f t="shared" si="31"/>
        <v>121.62929790311125</v>
      </c>
      <c r="W12" s="310">
        <f t="shared" si="32"/>
        <v>3.0351787619039689E-2</v>
      </c>
      <c r="X12" s="235">
        <f t="shared" si="33"/>
        <v>0</v>
      </c>
      <c r="Y12" s="123">
        <f t="shared" si="34"/>
        <v>0.65071510419027756</v>
      </c>
      <c r="Z12" s="4">
        <f t="shared" si="1"/>
        <v>7.8807479308043993E-3</v>
      </c>
      <c r="AA12" s="3">
        <f t="shared" si="2"/>
        <v>0.23777717865627737</v>
      </c>
      <c r="AB12" s="429"/>
      <c r="AC12" s="430"/>
      <c r="AD12" s="430"/>
      <c r="AE12" s="430"/>
      <c r="AF12" s="430"/>
      <c r="AG12" s="430"/>
      <c r="AI12" s="437"/>
      <c r="AJ12" s="274">
        <f t="shared" si="35"/>
        <v>40664</v>
      </c>
      <c r="AK12" s="389">
        <f>IF($B$29="d",Colony!H39,IF($B$29="n",Colony!H67,IF($B$29="p",Colony!H95,IF($B$29="a",Colony!H123,IF($B$29="b",Colony!H151,IF($B$29="c",Colony!H179,IF($B$29="r",Colony!H207,IF($B$29="s",Colony!H235,IF($B$29="f",Colony!H263,"error")))))))))</f>
        <v>7</v>
      </c>
      <c r="AL12">
        <f t="shared" si="3"/>
        <v>14000</v>
      </c>
      <c r="AM12" s="81">
        <f>IF($B$29="d",Colony!F39,IF($B$29="n",Colony!F67,IF($B$29="p",Colony!F95,IF($B$29="a",Colony!F123,IF($B$29="b",Colony!F151,IF($B$29="c",Colony!F179,IF($B$29="r",Colony!F207,IF($B$29="s",Colony!F235,IF($B$29="f",Colony!F263,"error")))))))))</f>
        <v>4</v>
      </c>
      <c r="AN12" s="17">
        <f t="shared" si="4"/>
        <v>18000</v>
      </c>
      <c r="AO12" s="21">
        <f t="shared" si="5"/>
        <v>1.2857142857142858</v>
      </c>
      <c r="AP12">
        <f t="shared" si="36"/>
        <v>10800</v>
      </c>
      <c r="AQ12" s="18">
        <f t="shared" si="37"/>
        <v>85.112077652687518</v>
      </c>
      <c r="AR12" s="18">
        <f t="shared" si="6"/>
        <v>900</v>
      </c>
      <c r="AS12" s="142">
        <f t="shared" si="38"/>
        <v>3.743427858595469</v>
      </c>
      <c r="AT12" s="27">
        <f t="shared" si="7"/>
        <v>15.743427858595469</v>
      </c>
      <c r="AU12" s="32">
        <f t="shared" si="8"/>
        <v>0.23777717865627737</v>
      </c>
      <c r="AV12" s="131">
        <f t="shared" si="9"/>
        <v>0.76222282134372266</v>
      </c>
      <c r="AW12" s="28">
        <f t="shared" si="10"/>
        <v>92.708626605765588</v>
      </c>
      <c r="AX12" s="258">
        <f t="shared" si="11"/>
        <v>10800</v>
      </c>
      <c r="AY12" s="80">
        <f>IF($B$29="d",Colony!J39,IF($B$29="n",Colony!J67,IF($B$29="p",Colony!J95,IF($B$29="a",Colony!J123,IF($B$29="b",Colony!J151,IF($B$29="c",Colony!J179,IF($B$29="r",Colony!J207,IF($B$29="s",Colony!J207,IF($B$29="f",Colony!J263,"error")))))))))</f>
        <v>0.03</v>
      </c>
      <c r="AZ12" s="106">
        <f t="shared" si="39"/>
        <v>1.9199999999999998E-2</v>
      </c>
      <c r="BA12" s="75">
        <f t="shared" si="40"/>
        <v>9.5999999999999988E-2</v>
      </c>
      <c r="BB12" s="102">
        <f t="shared" si="41"/>
        <v>7.3173390848997363E-2</v>
      </c>
      <c r="BC12" s="72">
        <f t="shared" si="12"/>
        <v>8.900028154153496</v>
      </c>
      <c r="BD12" s="73">
        <f t="shared" si="42"/>
        <v>4.292066046563222E-2</v>
      </c>
      <c r="BE12" s="369">
        <f t="shared" si="43"/>
        <v>4.201260667432416E-2</v>
      </c>
      <c r="BF12" s="370">
        <f t="shared" si="44"/>
        <v>1.0216138407775353</v>
      </c>
      <c r="BG12" s="73">
        <f t="shared" si="13"/>
        <v>18.743427858595467</v>
      </c>
      <c r="BH12" s="368">
        <v>1</v>
      </c>
      <c r="BI12" s="84">
        <f t="shared" si="14"/>
        <v>4.2749999999999995</v>
      </c>
      <c r="BJ12" s="78">
        <f t="shared" si="45"/>
        <v>9.8493837450082944E-2</v>
      </c>
      <c r="BK12" s="103">
        <f t="shared" si="46"/>
        <v>0.68904943049472533</v>
      </c>
      <c r="BL12" s="71">
        <f t="shared" si="47"/>
        <v>10592.64</v>
      </c>
      <c r="BM12" s="71">
        <f t="shared" si="15"/>
        <v>83.808598451612085</v>
      </c>
      <c r="BN12" s="74">
        <f>BM12/BL12</f>
        <v>7.9119651429305719E-3</v>
      </c>
      <c r="BO12" s="366">
        <f t="shared" si="48"/>
        <v>7.8807479308043993E-3</v>
      </c>
      <c r="BP12" s="368">
        <f t="shared" si="49"/>
        <v>1.0038338211766549</v>
      </c>
      <c r="BQ12" s="76">
        <f t="shared" si="17"/>
        <v>0.90400000000000003</v>
      </c>
      <c r="BR12" s="74">
        <f t="shared" si="18"/>
        <v>15.743427858595469</v>
      </c>
      <c r="BS12" s="367">
        <v>1</v>
      </c>
      <c r="BT12" s="83">
        <f t="shared" si="50"/>
        <v>2.2586249999999999</v>
      </c>
      <c r="BU12" s="79">
        <f t="shared" si="19"/>
        <v>6.518049768398862E-2</v>
      </c>
      <c r="BV12" s="112">
        <f t="shared" si="20"/>
        <v>5.2119712872467652E-2</v>
      </c>
      <c r="BW12" s="55">
        <f t="shared" si="21"/>
        <v>-6.0180723255630212E-3</v>
      </c>
      <c r="BX12" s="134">
        <f t="shared" si="22"/>
        <v>4.6101640546904632E-2</v>
      </c>
      <c r="BY12" s="134"/>
      <c r="BZ12" s="391">
        <f t="shared" ref="BZ12:BZ28" si="69">CL11</f>
        <v>121.62929790311125</v>
      </c>
      <c r="CA12" s="242">
        <f t="shared" si="23"/>
        <v>85.140508532177876</v>
      </c>
      <c r="CB12" s="242">
        <f t="shared" si="68"/>
        <v>81.653641120102009</v>
      </c>
      <c r="CC12" s="149">
        <f t="shared" si="51"/>
        <v>98.739823402273345</v>
      </c>
      <c r="CD12" s="17">
        <f t="shared" si="52"/>
        <v>220.3691213053846</v>
      </c>
      <c r="CE12" s="269">
        <f t="shared" si="53"/>
        <v>19.273783199124097</v>
      </c>
      <c r="CF12" s="136">
        <f t="shared" si="24"/>
        <v>201.0953381062605</v>
      </c>
      <c r="CG12" s="246">
        <f>IF($B$33=0,0, IF($B$33=1,Colony!AF12,IF($B$33=2,Colony!AG12,IF($B$33=3,Colony!AH12,IF($B$33=4,Colony!AI12,IF($B$33="X",Colony!AK12,"error"))))))</f>
        <v>0</v>
      </c>
      <c r="CH12" s="138">
        <f t="shared" si="54"/>
        <v>-8.1169930965401811</v>
      </c>
      <c r="CI12" s="98">
        <f t="shared" si="62"/>
        <v>-8.1169930965401811</v>
      </c>
      <c r="CJ12" s="268">
        <f t="shared" si="55"/>
        <v>192.97834500972033</v>
      </c>
      <c r="CK12" s="136">
        <f t="shared" si="25"/>
        <v>0</v>
      </c>
      <c r="CL12" s="95">
        <f t="shared" si="26"/>
        <v>192.97834500972033</v>
      </c>
      <c r="CM12" s="29">
        <f t="shared" si="56"/>
        <v>3.0351787619039689E-2</v>
      </c>
      <c r="CN12" s="274">
        <f t="shared" si="27"/>
        <v>40664</v>
      </c>
      <c r="CO12" s="89">
        <f t="shared" si="28"/>
        <v>28.920671297345667</v>
      </c>
      <c r="CP12" s="21">
        <f t="shared" si="29"/>
        <v>2.0657622355246905E-3</v>
      </c>
      <c r="CQ12" s="146">
        <f t="shared" si="30"/>
        <v>0.65071510419027756</v>
      </c>
      <c r="CR12" t="str">
        <f t="shared" si="67"/>
        <v/>
      </c>
      <c r="CS12" t="str">
        <f t="shared" si="63"/>
        <v/>
      </c>
      <c r="CT12">
        <f t="shared" si="64"/>
        <v>0</v>
      </c>
      <c r="CU12" s="17">
        <f t="shared" si="57"/>
        <v>9239.0625</v>
      </c>
      <c r="CV12" s="18">
        <f t="shared" si="58"/>
        <v>4000</v>
      </c>
      <c r="CW12" s="267">
        <f t="shared" si="59"/>
        <v>5239.0625</v>
      </c>
      <c r="CX12" s="267">
        <f t="shared" si="65"/>
        <v>344.48630136986299</v>
      </c>
      <c r="CY12" s="104">
        <f t="shared" si="60"/>
        <v>0.75</v>
      </c>
      <c r="CZ12" s="266">
        <f t="shared" si="61"/>
        <v>8.1169930965401811</v>
      </c>
      <c r="DB12" s="17">
        <f t="shared" si="66"/>
        <v>98.739823402273345</v>
      </c>
      <c r="DC12" s="165">
        <f>DK$57</f>
        <v>13.756766571922073</v>
      </c>
      <c r="DD12" s="37">
        <f>DJ$59</f>
        <v>4.9233320777577388E-2</v>
      </c>
      <c r="DH12" s="2">
        <v>40664</v>
      </c>
      <c r="DI12" s="262">
        <v>43040</v>
      </c>
      <c r="DK12" s="251">
        <v>0.6</v>
      </c>
    </row>
    <row r="13" spans="1:135" ht="12.75" customHeight="1" x14ac:dyDescent="0.2">
      <c r="A13" s="416"/>
      <c r="T13" s="125"/>
      <c r="U13" s="2">
        <f t="shared" si="0"/>
        <v>40678</v>
      </c>
      <c r="V13" s="59">
        <f t="shared" si="31"/>
        <v>192.97834500972033</v>
      </c>
      <c r="W13" s="310">
        <f t="shared" si="32"/>
        <v>2.9737365953513686E-2</v>
      </c>
      <c r="X13" s="235">
        <f t="shared" si="33"/>
        <v>0</v>
      </c>
      <c r="Y13" s="123">
        <f t="shared" si="34"/>
        <v>0.81695334348596016</v>
      </c>
      <c r="Z13" s="4">
        <f t="shared" si="1"/>
        <v>9.029310485163089E-3</v>
      </c>
      <c r="AA13" s="3">
        <f t="shared" si="2"/>
        <v>0.26878691260437249</v>
      </c>
      <c r="AB13" s="428" t="s">
        <v>327</v>
      </c>
      <c r="AC13" s="430" t="s">
        <v>331</v>
      </c>
      <c r="AD13" s="430"/>
      <c r="AE13" s="430"/>
      <c r="AF13" s="430"/>
      <c r="AG13" s="430"/>
      <c r="AI13" s="437"/>
      <c r="AJ13" s="274">
        <f t="shared" si="35"/>
        <v>40678</v>
      </c>
      <c r="AK13" s="389">
        <f>IF($B$29="d",Colony!H40,IF($B$29="n",Colony!H68,IF($B$29="p",Colony!H96,IF($B$29="a",Colony!H124,IF($B$29="b",Colony!H152,IF($B$29="c",Colony!H180,IF($B$29="r",Colony!H208,IF($B$29="s",Colony!H236,IF($B$29="f",Colony!H264,"error")))))))))</f>
        <v>10</v>
      </c>
      <c r="AL13">
        <f t="shared" si="3"/>
        <v>20000</v>
      </c>
      <c r="AM13" s="81">
        <f>IF($B$29="d",Colony!F40,IF($B$29="n",Colony!F68,IF($B$29="p",Colony!F96,IF($B$29="a",Colony!F124,IF($B$29="b",Colony!F152,IF($B$29="c",Colony!F180,IF($B$29="r",Colony!F208,IF($B$29="s",Colony!F236,IF($B$29="f",Colony!F264,"error")))))))))</f>
        <v>5</v>
      </c>
      <c r="AN13" s="17">
        <f t="shared" si="4"/>
        <v>22500</v>
      </c>
      <c r="AO13" s="21">
        <f t="shared" si="5"/>
        <v>1.125</v>
      </c>
      <c r="AP13">
        <f t="shared" si="36"/>
        <v>13500</v>
      </c>
      <c r="AQ13" s="18">
        <f t="shared" si="37"/>
        <v>121.8956915497017</v>
      </c>
      <c r="AR13" s="18">
        <f t="shared" si="6"/>
        <v>1125</v>
      </c>
      <c r="AS13" s="142">
        <f t="shared" si="38"/>
        <v>4.4110848217180827</v>
      </c>
      <c r="AT13" s="27">
        <f t="shared" si="7"/>
        <v>16.411084821718084</v>
      </c>
      <c r="AU13" s="32">
        <f t="shared" si="8"/>
        <v>0.26878691260437249</v>
      </c>
      <c r="AV13" s="131">
        <f t="shared" si="9"/>
        <v>0.73121308739562751</v>
      </c>
      <c r="AW13" s="28">
        <f t="shared" si="10"/>
        <v>141.10829145505619</v>
      </c>
      <c r="AX13" s="258">
        <f t="shared" si="11"/>
        <v>13500</v>
      </c>
      <c r="AY13" s="80">
        <f>IF($B$29="d",Colony!J40,IF($B$29="n",Colony!J68,IF($B$29="p",Colony!J96,IF($B$29="a",Colony!J124,IF($B$29="b",Colony!J152,IF($B$29="c",Colony!J180,IF($B$29="r",Colony!J208,IF($B$29="s",Colony!J208,IF($B$29="f",Colony!J264,"error")))))))))</f>
        <v>0.05</v>
      </c>
      <c r="AZ13" s="106">
        <f t="shared" si="39"/>
        <v>3.2000000000000001E-2</v>
      </c>
      <c r="BA13" s="75">
        <f t="shared" si="40"/>
        <v>0.16</v>
      </c>
      <c r="BB13" s="102">
        <f t="shared" si="41"/>
        <v>0.11699409398330041</v>
      </c>
      <c r="BC13" s="72">
        <f t="shared" si="12"/>
        <v>22.57732663280899</v>
      </c>
      <c r="BD13" s="73">
        <f t="shared" si="42"/>
        <v>5.2262330168539331E-2</v>
      </c>
      <c r="BE13" s="369">
        <f t="shared" si="43"/>
        <v>5.0920138096566703E-2</v>
      </c>
      <c r="BF13" s="370">
        <f t="shared" si="44"/>
        <v>1.0263587673196652</v>
      </c>
      <c r="BG13" s="73">
        <f t="shared" si="13"/>
        <v>19.411084821718084</v>
      </c>
      <c r="BH13" s="368">
        <v>1</v>
      </c>
      <c r="BI13" s="84">
        <f t="shared" si="14"/>
        <v>4.2749999999999995</v>
      </c>
      <c r="BJ13" s="78">
        <f t="shared" si="45"/>
        <v>9.8493837450082944E-2</v>
      </c>
      <c r="BK13" s="103">
        <f t="shared" si="46"/>
        <v>0.61421899341232711</v>
      </c>
      <c r="BL13" s="71">
        <f t="shared" si="47"/>
        <v>13068</v>
      </c>
      <c r="BM13" s="71">
        <f t="shared" si="15"/>
        <v>118.5309648222472</v>
      </c>
      <c r="BN13" s="74">
        <f t="shared" si="16"/>
        <v>9.0703217647878174E-3</v>
      </c>
      <c r="BO13" s="366">
        <f t="shared" si="48"/>
        <v>9.029310485163089E-3</v>
      </c>
      <c r="BP13" s="368">
        <f t="shared" si="49"/>
        <v>1.0044307756295277</v>
      </c>
      <c r="BQ13" s="76">
        <f t="shared" si="17"/>
        <v>0.84</v>
      </c>
      <c r="BR13" s="74">
        <f t="shared" si="18"/>
        <v>16.411084821718084</v>
      </c>
      <c r="BS13" s="367">
        <v>1</v>
      </c>
      <c r="BT13" s="83">
        <f t="shared" si="50"/>
        <v>2.2586249999999999</v>
      </c>
      <c r="BU13" s="79">
        <f t="shared" si="19"/>
        <v>6.518049768398862E-2</v>
      </c>
      <c r="BV13" s="112">
        <f t="shared" si="20"/>
        <v>5.1558296952984924E-2</v>
      </c>
      <c r="BW13" s="55">
        <f t="shared" si="21"/>
        <v>-6.0180723255630212E-3</v>
      </c>
      <c r="BX13" s="134">
        <f t="shared" si="22"/>
        <v>4.5540224627421903E-2</v>
      </c>
      <c r="BY13" s="134"/>
      <c r="BZ13" s="391">
        <f t="shared" si="69"/>
        <v>192.97834500972033</v>
      </c>
      <c r="CA13" s="242">
        <f t="shared" si="23"/>
        <v>135.08484150680422</v>
      </c>
      <c r="CB13" s="242">
        <f t="shared" si="68"/>
        <v>128.43416617271154</v>
      </c>
      <c r="CC13" s="149">
        <f t="shared" si="51"/>
        <v>152.89691869161871</v>
      </c>
      <c r="CD13" s="17">
        <f t="shared" si="52"/>
        <v>345.87526370133901</v>
      </c>
      <c r="CE13" s="269">
        <f t="shared" si="53"/>
        <v>30.250721185575628</v>
      </c>
      <c r="CF13" s="136">
        <f t="shared" si="24"/>
        <v>315.62454251576338</v>
      </c>
      <c r="CG13" s="246">
        <f>IF($B$33=0,0, IF($B$33=1,Colony!AF13,IF($B$33=2,Colony!AG13,IF($B$33=3,Colony!AH13,IF($B$33=4,Colony!AI13,IF($B$33="X",Colony!AK13,"error"))))))</f>
        <v>0</v>
      </c>
      <c r="CH13" s="138">
        <f t="shared" si="54"/>
        <v>-12.290771283695026</v>
      </c>
      <c r="CI13" s="98">
        <f t="shared" si="62"/>
        <v>-12.290771283695026</v>
      </c>
      <c r="CJ13" s="268">
        <f t="shared" si="55"/>
        <v>303.33377123206833</v>
      </c>
      <c r="CK13" s="136">
        <f t="shared" si="25"/>
        <v>0</v>
      </c>
      <c r="CL13" s="95">
        <f t="shared" si="26"/>
        <v>303.33377123206833</v>
      </c>
      <c r="CM13" s="29">
        <f t="shared" si="56"/>
        <v>2.9737365953513686E-2</v>
      </c>
      <c r="CN13" s="274">
        <f t="shared" si="27"/>
        <v>40678</v>
      </c>
      <c r="CO13" s="89">
        <f t="shared" si="28"/>
        <v>51.870053554664139</v>
      </c>
      <c r="CP13" s="21">
        <f t="shared" si="29"/>
        <v>2.5935026777332069E-3</v>
      </c>
      <c r="CQ13" s="146">
        <f t="shared" si="30"/>
        <v>0.81695334348596016</v>
      </c>
      <c r="CR13" t="str">
        <f t="shared" si="67"/>
        <v/>
      </c>
      <c r="CS13" t="str">
        <f t="shared" si="63"/>
        <v/>
      </c>
      <c r="CT13">
        <f t="shared" si="64"/>
        <v>0</v>
      </c>
      <c r="CU13" s="17">
        <f t="shared" si="57"/>
        <v>12318.75</v>
      </c>
      <c r="CV13" s="18">
        <f t="shared" si="58"/>
        <v>6000</v>
      </c>
      <c r="CW13" s="267">
        <f t="shared" si="59"/>
        <v>6318.75</v>
      </c>
      <c r="CX13" s="267">
        <f t="shared" si="65"/>
        <v>415.47945205479448</v>
      </c>
      <c r="CY13" s="104">
        <f t="shared" si="60"/>
        <v>0.75</v>
      </c>
      <c r="CZ13" s="266">
        <f t="shared" si="61"/>
        <v>12.290771283695026</v>
      </c>
      <c r="DB13" s="17">
        <f t="shared" si="66"/>
        <v>152.89691869161871</v>
      </c>
      <c r="DC13" s="165">
        <f>DL$57</f>
        <v>22.467255815816674</v>
      </c>
      <c r="DD13" s="37">
        <f>DK$59</f>
        <v>5.6167741701500205E-2</v>
      </c>
      <c r="DH13" s="2">
        <v>40678</v>
      </c>
      <c r="DI13" s="262">
        <v>43054</v>
      </c>
      <c r="DK13" s="251">
        <v>0.57999999999999996</v>
      </c>
      <c r="DL13">
        <v>10.08</v>
      </c>
    </row>
    <row r="14" spans="1:135" x14ac:dyDescent="0.2">
      <c r="A14" s="416"/>
      <c r="T14" s="125"/>
      <c r="U14" s="2">
        <f t="shared" si="0"/>
        <v>40695</v>
      </c>
      <c r="V14" s="59">
        <f t="shared" si="31"/>
        <v>303.33377123206833</v>
      </c>
      <c r="W14" s="310">
        <f t="shared" si="32"/>
        <v>3.1312861079491099E-2</v>
      </c>
      <c r="X14" s="235">
        <f t="shared" si="33"/>
        <v>10</v>
      </c>
      <c r="Y14" s="123">
        <f t="shared" si="34"/>
        <v>0.91723666340372256</v>
      </c>
      <c r="Z14" s="4">
        <f t="shared" si="1"/>
        <v>1.0132050669036774E-2</v>
      </c>
      <c r="AA14" s="3">
        <f t="shared" si="2"/>
        <v>0.26878691260437249</v>
      </c>
      <c r="AB14" s="429"/>
      <c r="AC14" s="430"/>
      <c r="AD14" s="430"/>
      <c r="AE14" s="430"/>
      <c r="AF14" s="430"/>
      <c r="AG14" s="430"/>
      <c r="AI14" s="437"/>
      <c r="AJ14" s="274">
        <f t="shared" si="35"/>
        <v>40695</v>
      </c>
      <c r="AK14" s="389">
        <f>IF($B$29="d",Colony!H41,IF($B$29="n",Colony!H69,IF($B$29="p",Colony!H97,IF($B$29="a",Colony!H125,IF($B$29="b",Colony!H153,IF($B$29="c",Colony!H181,IF($B$29="r",Colony!H209,IF($B$29="s",Colony!H237,IF($B$29="f",Colony!H265,"error")))))))))</f>
        <v>14</v>
      </c>
      <c r="AL14">
        <f t="shared" si="3"/>
        <v>28000</v>
      </c>
      <c r="AM14" s="81">
        <f>IF($B$29="d",Colony!F41,IF($B$29="n",Colony!F69,IF($B$29="p",Colony!F97,IF($B$29="a",Colony!F125,IF($B$29="b",Colony!F153,IF($B$29="c",Colony!F181,IF($B$29="r",Colony!F209,IF($B$29="s",Colony!F237,IF($B$29="f",Colony!F265,"error")))))))))</f>
        <v>7</v>
      </c>
      <c r="AN14" s="17">
        <f t="shared" si="4"/>
        <v>31500</v>
      </c>
      <c r="AO14" s="21">
        <f t="shared" si="5"/>
        <v>1.125</v>
      </c>
      <c r="AP14">
        <f t="shared" si="36"/>
        <v>18900</v>
      </c>
      <c r="AQ14" s="18">
        <f t="shared" si="37"/>
        <v>191.49575764479502</v>
      </c>
      <c r="AR14" s="18">
        <f t="shared" si="6"/>
        <v>1575</v>
      </c>
      <c r="AS14" s="142">
        <f t="shared" si="38"/>
        <v>4.4110848217180827</v>
      </c>
      <c r="AT14" s="27">
        <f t="shared" si="7"/>
        <v>16.411084821718084</v>
      </c>
      <c r="AU14" s="32">
        <f t="shared" si="8"/>
        <v>0.26878691260437249</v>
      </c>
      <c r="AV14" s="131">
        <f t="shared" si="9"/>
        <v>0.73121308739562751</v>
      </c>
      <c r="AW14" s="28">
        <f t="shared" si="10"/>
        <v>221.80162337395967</v>
      </c>
      <c r="AX14" s="258">
        <f t="shared" si="11"/>
        <v>18900</v>
      </c>
      <c r="AY14" s="80">
        <f>IF($B$29="d",Colony!J41,IF($B$29="n",Colony!J69,IF($B$29="p",Colony!J97,IF($B$29="a",Colony!J125,IF($B$29="b",Colony!J153,IF($B$29="c",Colony!J181,IF($B$29="r",Colony!J209,IF($B$29="s",Colony!J209,IF($B$29="f",Colony!J265,"error")))))))))</f>
        <v>0.05</v>
      </c>
      <c r="AZ14" s="106">
        <f t="shared" si="39"/>
        <v>3.2000000000000001E-2</v>
      </c>
      <c r="BA14" s="75">
        <f t="shared" si="40"/>
        <v>0.16</v>
      </c>
      <c r="BB14" s="102">
        <f t="shared" si="41"/>
        <v>0.11699409398330041</v>
      </c>
      <c r="BC14" s="72">
        <f t="shared" si="12"/>
        <v>35.488259739833545</v>
      </c>
      <c r="BD14" s="73">
        <f t="shared" si="42"/>
        <v>5.8677678141259161E-2</v>
      </c>
      <c r="BE14" s="369">
        <f t="shared" si="43"/>
        <v>5.6989326870002355E-2</v>
      </c>
      <c r="BF14" s="370">
        <f t="shared" si="44"/>
        <v>1.0296257450997461</v>
      </c>
      <c r="BG14" s="73">
        <f t="shared" si="13"/>
        <v>19.411084821718084</v>
      </c>
      <c r="BH14" s="368">
        <v>1</v>
      </c>
      <c r="BI14" s="84">
        <f t="shared" si="14"/>
        <v>4.2749999999999995</v>
      </c>
      <c r="BJ14" s="78">
        <f t="shared" si="45"/>
        <v>9.8493837450082944E-2</v>
      </c>
      <c r="BK14" s="103">
        <f t="shared" si="46"/>
        <v>0.61421899341232711</v>
      </c>
      <c r="BL14" s="71">
        <f t="shared" si="47"/>
        <v>18295.2</v>
      </c>
      <c r="BM14" s="71">
        <f t="shared" si="15"/>
        <v>186.31336363412612</v>
      </c>
      <c r="BN14" s="74">
        <f t="shared" si="16"/>
        <v>1.0183729264185476E-2</v>
      </c>
      <c r="BO14" s="366">
        <f t="shared" si="48"/>
        <v>1.0132050669036774E-2</v>
      </c>
      <c r="BP14" s="368">
        <f t="shared" si="49"/>
        <v>1.0050013166620748</v>
      </c>
      <c r="BQ14" s="76">
        <f t="shared" si="17"/>
        <v>0.84</v>
      </c>
      <c r="BR14" s="74">
        <f t="shared" si="18"/>
        <v>16.411084821718084</v>
      </c>
      <c r="BS14" s="367">
        <v>1</v>
      </c>
      <c r="BT14" s="83">
        <f t="shared" si="50"/>
        <v>2.2586249999999999</v>
      </c>
      <c r="BU14" s="79">
        <f t="shared" si="19"/>
        <v>6.518049768398862E-2</v>
      </c>
      <c r="BV14" s="112">
        <f t="shared" si="20"/>
        <v>5.1558296952984924E-2</v>
      </c>
      <c r="BW14" s="55">
        <f t="shared" si="21"/>
        <v>-6.0180723255630212E-3</v>
      </c>
      <c r="BX14" s="134">
        <f t="shared" si="22"/>
        <v>4.5540224627421903E-2</v>
      </c>
      <c r="BY14" s="134"/>
      <c r="BZ14" s="391">
        <f t="shared" si="69"/>
        <v>303.33377123206833</v>
      </c>
      <c r="CA14" s="242">
        <f t="shared" si="23"/>
        <v>212.33363986244782</v>
      </c>
      <c r="CB14" s="242">
        <f t="shared" si="68"/>
        <v>200.4073388241145</v>
      </c>
      <c r="CC14" s="149">
        <f t="shared" si="51"/>
        <v>238.57876375503548</v>
      </c>
      <c r="CD14" s="17">
        <f t="shared" si="52"/>
        <v>541.91253498710375</v>
      </c>
      <c r="CE14" s="269">
        <f t="shared" si="53"/>
        <v>47.396407674354066</v>
      </c>
      <c r="CF14" s="136">
        <f t="shared" si="24"/>
        <v>494.51612731274969</v>
      </c>
      <c r="CG14" s="246">
        <f>IF($B$33=0,0, IF($B$33=1,Colony!AF14,IF($B$33=2,Colony!AG14,IF($B$33=3,Colony!AH14,IF($B$33=4,Colony!AI14,IF($B$33="X",Colony!AK14,"error"))))))</f>
        <v>10</v>
      </c>
      <c r="CH14" s="138">
        <f t="shared" si="54"/>
        <v>-16.157424111668998</v>
      </c>
      <c r="CI14" s="98">
        <f t="shared" si="62"/>
        <v>-6.1574241116689983</v>
      </c>
      <c r="CJ14" s="268">
        <f t="shared" si="55"/>
        <v>488.35870320108069</v>
      </c>
      <c r="CK14" s="136">
        <f t="shared" si="25"/>
        <v>0</v>
      </c>
      <c r="CL14" s="95">
        <f t="shared" si="26"/>
        <v>488.35870320108069</v>
      </c>
      <c r="CM14" s="29">
        <f t="shared" si="56"/>
        <v>3.1312861079491099E-2</v>
      </c>
      <c r="CN14" s="274">
        <f t="shared" si="27"/>
        <v>40695</v>
      </c>
      <c r="CO14" s="89">
        <f t="shared" si="28"/>
        <v>81.532147858108672</v>
      </c>
      <c r="CP14" s="21">
        <f t="shared" si="29"/>
        <v>2.9118624235038811E-3</v>
      </c>
      <c r="CQ14" s="146">
        <f t="shared" si="30"/>
        <v>0.91723666340372256</v>
      </c>
      <c r="CR14" t="str">
        <f t="shared" si="67"/>
        <v/>
      </c>
      <c r="CS14" t="str">
        <f t="shared" si="63"/>
        <v/>
      </c>
      <c r="CT14">
        <f t="shared" si="64"/>
        <v>0</v>
      </c>
      <c r="CU14" s="17">
        <f t="shared" si="57"/>
        <v>15398.4375</v>
      </c>
      <c r="CV14" s="18">
        <f t="shared" si="58"/>
        <v>8000</v>
      </c>
      <c r="CW14" s="267">
        <f t="shared" si="59"/>
        <v>7398.4375</v>
      </c>
      <c r="CX14" s="267">
        <f t="shared" si="65"/>
        <v>486.47260273972603</v>
      </c>
      <c r="CY14" s="104">
        <f t="shared" si="60"/>
        <v>0.75</v>
      </c>
      <c r="CZ14" s="266">
        <f t="shared" si="61"/>
        <v>16.157424111668998</v>
      </c>
      <c r="DB14" s="17">
        <f t="shared" si="66"/>
        <v>238.57876375503548</v>
      </c>
      <c r="DC14" s="165">
        <f>DM$57</f>
        <v>37.681855722968166</v>
      </c>
      <c r="DD14" s="37">
        <f>DL$59</f>
        <v>5.9645640031064338E-2</v>
      </c>
      <c r="DH14" s="2">
        <v>40695</v>
      </c>
      <c r="DI14" s="262">
        <v>43070</v>
      </c>
      <c r="DK14" s="251">
        <v>0.56999999999999995</v>
      </c>
    </row>
    <row r="15" spans="1:135" ht="12.75" customHeight="1" x14ac:dyDescent="0.2">
      <c r="A15" s="416"/>
      <c r="T15" s="125"/>
      <c r="U15" s="2">
        <f t="shared" si="0"/>
        <v>40709</v>
      </c>
      <c r="V15" s="59">
        <f t="shared" si="31"/>
        <v>488.35870320108069</v>
      </c>
      <c r="W15" s="310">
        <f t="shared" si="32"/>
        <v>2.6049612400380687E-2</v>
      </c>
      <c r="X15" s="235">
        <f t="shared" si="33"/>
        <v>10</v>
      </c>
      <c r="Y15" s="123">
        <f t="shared" si="34"/>
        <v>1.3707920689013067</v>
      </c>
      <c r="Z15" s="4">
        <f t="shared" si="1"/>
        <v>1.5114038170943811E-2</v>
      </c>
      <c r="AA15" s="3">
        <f t="shared" si="2"/>
        <v>0.32079278961282826</v>
      </c>
      <c r="AB15" s="428" t="s">
        <v>3</v>
      </c>
      <c r="AC15" s="430" t="s">
        <v>4</v>
      </c>
      <c r="AD15" s="430"/>
      <c r="AE15" s="430"/>
      <c r="AF15" s="430"/>
      <c r="AG15" s="430"/>
      <c r="AI15" s="437"/>
      <c r="AJ15" s="274">
        <f t="shared" si="35"/>
        <v>40709</v>
      </c>
      <c r="AK15" s="389">
        <f>IF($B$29="d",Colony!H42,IF($B$29="n",Colony!H70,IF($B$29="p",Colony!H98,IF($B$29="a",Colony!H126,IF($B$29="b",Colony!H154,IF($B$29="c",Colony!H182,IF($B$29="r",Colony!H210,IF($B$29="s",Colony!H238,IF($B$29="f",Colony!H266,"error")))))))))</f>
        <v>18</v>
      </c>
      <c r="AL15">
        <f t="shared" si="3"/>
        <v>36000</v>
      </c>
      <c r="AM15" s="81">
        <f>IF($B$29="d",Colony!F42,IF($B$29="n",Colony!F70,IF($B$29="p",Colony!F98,IF($B$29="a",Colony!F126,IF($B$29="b",Colony!F154,IF($B$29="c",Colony!F182,IF($B$29="r",Colony!F210,IF($B$29="s",Colony!F238,IF($B$29="f",Colony!F266,"error")))))))))</f>
        <v>7</v>
      </c>
      <c r="AN15" s="17">
        <f t="shared" si="4"/>
        <v>31500</v>
      </c>
      <c r="AO15" s="21">
        <f t="shared" si="5"/>
        <v>0.875</v>
      </c>
      <c r="AP15">
        <f t="shared" si="36"/>
        <v>18900</v>
      </c>
      <c r="AQ15" s="18">
        <f t="shared" si="37"/>
        <v>285.655321430838</v>
      </c>
      <c r="AR15" s="18">
        <f t="shared" si="6"/>
        <v>1575</v>
      </c>
      <c r="AS15" s="142">
        <f t="shared" si="38"/>
        <v>5.6676569631226128</v>
      </c>
      <c r="AT15" s="27">
        <f t="shared" si="7"/>
        <v>17.667656963122614</v>
      </c>
      <c r="AU15" s="32">
        <f t="shared" si="8"/>
        <v>0.32079278961282826</v>
      </c>
      <c r="AV15" s="131">
        <f t="shared" si="9"/>
        <v>0.6792072103871718</v>
      </c>
      <c r="AW15" s="28">
        <f t="shared" si="10"/>
        <v>331.69675246950283</v>
      </c>
      <c r="AX15" s="258">
        <f t="shared" si="11"/>
        <v>18900</v>
      </c>
      <c r="AY15" s="80">
        <f>IF($B$29="d",Colony!J42,IF($B$29="n",Colony!J70,IF($B$29="p",Colony!J98,IF($B$29="a",Colony!J126,IF($B$29="b",Colony!J154,IF($B$29="c",Colony!J182,IF($B$29="r",Colony!J210,IF($B$29="s",Colony!J210,IF($B$29="f",Colony!J266,"error")))))))))</f>
        <v>0.05</v>
      </c>
      <c r="AZ15" s="106">
        <f t="shared" si="39"/>
        <v>3.2000000000000001E-2</v>
      </c>
      <c r="BA15" s="75">
        <f t="shared" si="40"/>
        <v>0.16</v>
      </c>
      <c r="BB15" s="102">
        <f t="shared" si="41"/>
        <v>0.10867315366194749</v>
      </c>
      <c r="BC15" s="72">
        <f t="shared" si="12"/>
        <v>53.071480395120453</v>
      </c>
      <c r="BD15" s="73">
        <f t="shared" si="42"/>
        <v>8.7750463616270577E-2</v>
      </c>
      <c r="BE15" s="369">
        <f t="shared" si="43"/>
        <v>8.4010579105278871E-2</v>
      </c>
      <c r="BF15" s="370">
        <f t="shared" si="44"/>
        <v>1.0445168281283363</v>
      </c>
      <c r="BG15" s="73">
        <f t="shared" si="13"/>
        <v>20.667656963122614</v>
      </c>
      <c r="BH15" s="368">
        <v>1</v>
      </c>
      <c r="BI15" s="84">
        <f t="shared" si="14"/>
        <v>4.2749999999999995</v>
      </c>
      <c r="BJ15" s="78">
        <f t="shared" si="45"/>
        <v>9.8493837450082944E-2</v>
      </c>
      <c r="BK15" s="103">
        <f t="shared" si="46"/>
        <v>0.57053405672522428</v>
      </c>
      <c r="BL15" s="71">
        <f t="shared" si="47"/>
        <v>18295.2</v>
      </c>
      <c r="BM15" s="71">
        <f t="shared" si="15"/>
        <v>278.62527207438239</v>
      </c>
      <c r="BN15" s="74">
        <f t="shared" si="16"/>
        <v>1.522941930530316E-2</v>
      </c>
      <c r="BO15" s="366">
        <f t="shared" si="48"/>
        <v>1.5114038170943811E-2</v>
      </c>
      <c r="BP15" s="368">
        <f t="shared" si="49"/>
        <v>1.0075673731727142</v>
      </c>
      <c r="BQ15" s="76">
        <f t="shared" si="17"/>
        <v>0.84</v>
      </c>
      <c r="BR15" s="74">
        <f t="shared" si="18"/>
        <v>17.667656963122614</v>
      </c>
      <c r="BS15" s="367">
        <v>1</v>
      </c>
      <c r="BT15" s="83">
        <f t="shared" si="50"/>
        <v>2.2586249999999999</v>
      </c>
      <c r="BU15" s="79">
        <f t="shared" si="19"/>
        <v>6.518049768398862E-2</v>
      </c>
      <c r="BV15" s="112">
        <f t="shared" si="20"/>
        <v>4.7891329694982852E-2</v>
      </c>
      <c r="BW15" s="55">
        <f t="shared" si="21"/>
        <v>-6.0180723255630212E-3</v>
      </c>
      <c r="BX15" s="134">
        <f t="shared" si="22"/>
        <v>4.1873257369419832E-2</v>
      </c>
      <c r="BY15" s="134"/>
      <c r="BZ15" s="391">
        <f t="shared" si="69"/>
        <v>488.35870320108069</v>
      </c>
      <c r="CA15" s="242">
        <f t="shared" si="23"/>
        <v>341.85109224075649</v>
      </c>
      <c r="CB15" s="242">
        <f t="shared" si="68"/>
        <v>321.46116504873817</v>
      </c>
      <c r="CC15" s="149">
        <f>CB15*EXP(BV15*$AK$36)-CB15</f>
        <v>344.49513254184569</v>
      </c>
      <c r="CD15" s="17">
        <f t="shared" si="52"/>
        <v>832.85383574292632</v>
      </c>
      <c r="CE15" s="269">
        <f t="shared" si="53"/>
        <v>72.842529713693807</v>
      </c>
      <c r="CF15" s="136">
        <f t="shared" si="24"/>
        <v>760.01130602923251</v>
      </c>
      <c r="CG15" s="246">
        <f>IF($B$33=0,0, IF($B$33=1,Colony!AF15,IF($B$33=2,Colony!AG15,IF($B$33=3,Colony!AH15,IF($B$33=4,Colony!AI15,IF($B$33="X",Colony!AK15,"error"))))))</f>
        <v>10</v>
      </c>
      <c r="CH15" s="138">
        <f t="shared" si="54"/>
        <v>-44.249861539645231</v>
      </c>
      <c r="CI15" s="98">
        <f t="shared" si="62"/>
        <v>-34.249861539645231</v>
      </c>
      <c r="CJ15" s="268">
        <f t="shared" si="55"/>
        <v>725.76144448958723</v>
      </c>
      <c r="CK15" s="136">
        <f t="shared" si="25"/>
        <v>0</v>
      </c>
      <c r="CL15" s="95">
        <f t="shared" si="26"/>
        <v>725.76144448958723</v>
      </c>
      <c r="CM15" s="29">
        <f t="shared" si="56"/>
        <v>2.6049612400380687E-2</v>
      </c>
      <c r="CN15" s="274">
        <f t="shared" si="27"/>
        <v>40709</v>
      </c>
      <c r="CO15" s="89">
        <f t="shared" si="28"/>
        <v>156.66195073157792</v>
      </c>
      <c r="CP15" s="21">
        <f t="shared" si="29"/>
        <v>4.3517208536549418E-3</v>
      </c>
      <c r="CQ15" s="146">
        <f t="shared" si="30"/>
        <v>1.3707920689013067</v>
      </c>
      <c r="CR15" t="str">
        <f t="shared" si="67"/>
        <v/>
      </c>
      <c r="CS15" t="str">
        <f t="shared" si="63"/>
        <v/>
      </c>
      <c r="CT15">
        <f t="shared" si="64"/>
        <v>0</v>
      </c>
      <c r="CU15" s="17">
        <f t="shared" si="57"/>
        <v>21557.8125</v>
      </c>
      <c r="CV15" s="18">
        <f t="shared" si="58"/>
        <v>8000</v>
      </c>
      <c r="CW15" s="267">
        <f t="shared" si="59"/>
        <v>13557.8125</v>
      </c>
      <c r="CX15" s="267">
        <f t="shared" si="65"/>
        <v>891.47260273972597</v>
      </c>
      <c r="CY15" s="104">
        <f t="shared" si="60"/>
        <v>0.75</v>
      </c>
      <c r="CZ15" s="266">
        <f t="shared" si="61"/>
        <v>44.249861539645231</v>
      </c>
      <c r="DB15" s="17">
        <f t="shared" si="66"/>
        <v>344.49513254184569</v>
      </c>
      <c r="DC15" s="165">
        <f>DN$57</f>
        <v>66.382929702530078</v>
      </c>
      <c r="DD15" s="37">
        <f>DM$59</f>
        <v>6.4662786719442922E-2</v>
      </c>
      <c r="DH15" s="2">
        <v>40709</v>
      </c>
      <c r="DI15" s="262">
        <v>43084</v>
      </c>
      <c r="DK15" s="251">
        <v>0.55000000000000004</v>
      </c>
      <c r="DL15">
        <v>5.9849999999999994</v>
      </c>
    </row>
    <row r="16" spans="1:135" x14ac:dyDescent="0.2">
      <c r="A16" s="416"/>
      <c r="T16" s="125">
        <v>0.5</v>
      </c>
      <c r="U16" s="2">
        <f t="shared" si="0"/>
        <v>40725</v>
      </c>
      <c r="V16" s="59">
        <f t="shared" si="31"/>
        <v>725.76144448958723</v>
      </c>
      <c r="W16" s="310">
        <f t="shared" si="32"/>
        <v>-2.4767508897365235E-2</v>
      </c>
      <c r="X16" s="235">
        <f t="shared" si="33"/>
        <v>21</v>
      </c>
      <c r="Y16" s="123">
        <f t="shared" si="34"/>
        <v>2.0428269952388121</v>
      </c>
      <c r="Z16" s="4">
        <f t="shared" si="1"/>
        <v>2.6186235140683078E-2</v>
      </c>
      <c r="AA16" s="3">
        <f t="shared" si="2"/>
        <v>0.37529815722033188</v>
      </c>
      <c r="AB16" s="429"/>
      <c r="AC16" s="430"/>
      <c r="AD16" s="430"/>
      <c r="AE16" s="430"/>
      <c r="AF16" s="430"/>
      <c r="AG16" s="430"/>
      <c r="AI16" s="437"/>
      <c r="AJ16" s="274">
        <f t="shared" si="35"/>
        <v>40725</v>
      </c>
      <c r="AK16" s="389">
        <f>IF($B$29="d",Colony!H43,IF($B$29="n",Colony!H71,IF($B$29="p",Colony!H99,IF($B$29="a",Colony!H127,IF($B$29="b",Colony!H155,IF($B$29="c",Colony!H183,IF($B$29="r",Colony!H211,IF($B$29="s",Colony!H239,IF($B$29="f",Colony!H267,"error")))))))))</f>
        <v>21</v>
      </c>
      <c r="AL16">
        <f t="shared" si="3"/>
        <v>42000</v>
      </c>
      <c r="AM16" s="81">
        <f>IF($B$29="d",Colony!F43,IF($B$29="n",Colony!F71,IF($B$29="p",Colony!F99,IF($B$29="a",Colony!F127,IF($B$29="b",Colony!F155,IF($B$29="c",Colony!F183,IF($B$29="r",Colony!F211,IF($B$29="s",Colony!F239,IF($B$29="f",Colony!F267,"error")))))))))</f>
        <v>6</v>
      </c>
      <c r="AN16" s="17">
        <f t="shared" si="4"/>
        <v>27000</v>
      </c>
      <c r="AO16" s="21">
        <f t="shared" si="5"/>
        <v>0.6428571428571429</v>
      </c>
      <c r="AP16">
        <f t="shared" si="36"/>
        <v>16200</v>
      </c>
      <c r="AQ16" s="18">
        <f t="shared" si="37"/>
        <v>424.21700927906585</v>
      </c>
      <c r="AR16" s="129">
        <f t="shared" si="6"/>
        <v>1350</v>
      </c>
      <c r="AS16" s="142">
        <f t="shared" si="38"/>
        <v>7.209163761395196</v>
      </c>
      <c r="AT16" s="27">
        <f t="shared" si="7"/>
        <v>19.209163761395196</v>
      </c>
      <c r="AU16" s="32">
        <f t="shared" si="8"/>
        <v>0.37529815722033188</v>
      </c>
      <c r="AV16" s="131">
        <f t="shared" si="9"/>
        <v>0.62470184277966812</v>
      </c>
      <c r="AW16" s="28">
        <f t="shared" si="10"/>
        <v>453.38451179107898</v>
      </c>
      <c r="AX16" s="258">
        <f t="shared" si="11"/>
        <v>16200</v>
      </c>
      <c r="AY16" s="80">
        <f>IF($B$29="d",Colony!J43,IF($B$29="n",Colony!J71,IF($B$29="p",Colony!J99,IF($B$29="a",Colony!J127,IF($B$29="b",Colony!J155,IF($B$29="c",Colony!J183,IF($B$29="r",Colony!J211,IF($B$29="s",Colony!J211,IF($B$29="f",Colony!J267,"error")))))))))</f>
        <v>0.02</v>
      </c>
      <c r="AZ16" s="106">
        <f t="shared" si="39"/>
        <v>1.2800000000000001E-2</v>
      </c>
      <c r="BA16" s="75">
        <f t="shared" si="40"/>
        <v>6.4000000000000001E-2</v>
      </c>
      <c r="BB16" s="102">
        <f t="shared" si="41"/>
        <v>3.9980917937898763E-2</v>
      </c>
      <c r="BC16" s="72">
        <f t="shared" si="12"/>
        <v>29.016608754629054</v>
      </c>
      <c r="BD16" s="73">
        <f t="shared" si="42"/>
        <v>0.13993349129354288</v>
      </c>
      <c r="BE16" s="369">
        <f t="shared" si="43"/>
        <v>0.13058394278670427</v>
      </c>
      <c r="BF16" s="370">
        <f t="shared" si="44"/>
        <v>1.0715979951846772</v>
      </c>
      <c r="BG16" s="73">
        <f t="shared" si="13"/>
        <v>22.209163761395196</v>
      </c>
      <c r="BH16" s="368">
        <v>1</v>
      </c>
      <c r="BI16" s="84">
        <f t="shared" si="14"/>
        <v>4.2749999999999995</v>
      </c>
      <c r="BJ16" s="78">
        <f t="shared" si="45"/>
        <v>9.8493837450082944E-2</v>
      </c>
      <c r="BK16" s="103">
        <f t="shared" si="46"/>
        <v>0.5847209248417693</v>
      </c>
      <c r="BL16" s="71">
        <f t="shared" si="47"/>
        <v>15992.64</v>
      </c>
      <c r="BM16" s="71">
        <f t="shared" si="15"/>
        <v>424.36790303644995</v>
      </c>
      <c r="BN16" s="74">
        <f t="shared" si="16"/>
        <v>2.6535200131838767E-2</v>
      </c>
      <c r="BO16" s="366">
        <f t="shared" si="48"/>
        <v>2.6186235140683078E-2</v>
      </c>
      <c r="BP16" s="368">
        <f t="shared" si="49"/>
        <v>1.0132875803530366</v>
      </c>
      <c r="BQ16" s="76">
        <f t="shared" si="17"/>
        <v>0.93599999999999994</v>
      </c>
      <c r="BR16" s="74">
        <f t="shared" si="18"/>
        <v>19.209163761395196</v>
      </c>
      <c r="BS16" s="367">
        <v>1</v>
      </c>
      <c r="BT16" s="83">
        <f t="shared" si="50"/>
        <v>2.2586249999999999</v>
      </c>
      <c r="BU16" s="79">
        <f t="shared" si="19"/>
        <v>6.518049768398862E-2</v>
      </c>
      <c r="BV16" s="112">
        <f t="shared" si="20"/>
        <v>4.2050274919909134E-2</v>
      </c>
      <c r="BW16" s="55">
        <f t="shared" si="21"/>
        <v>-6.0180723255630212E-3</v>
      </c>
      <c r="BX16" s="134">
        <f t="shared" si="22"/>
        <v>3.6032202594346113E-2</v>
      </c>
      <c r="BY16" s="134"/>
      <c r="BZ16" s="391">
        <f t="shared" si="69"/>
        <v>725.76144448958723</v>
      </c>
      <c r="CA16" s="242">
        <f t="shared" si="23"/>
        <v>508.03301114271102</v>
      </c>
      <c r="CB16" s="242">
        <f t="shared" si="68"/>
        <v>475.18218089675355</v>
      </c>
      <c r="CC16" s="149">
        <f>CB16*EXP(BV16*$AK$36)-CB16</f>
        <v>425.55441365110727</v>
      </c>
      <c r="CD16" s="17">
        <f t="shared" si="52"/>
        <v>1151.3158581406944</v>
      </c>
      <c r="CE16" s="269">
        <f t="shared" si="53"/>
        <v>100.69565151447136</v>
      </c>
      <c r="CF16" s="136">
        <f t="shared" si="24"/>
        <v>1050.6202066262231</v>
      </c>
      <c r="CG16" s="246">
        <f>IF($B$33=0,0, IF($B$33=1,Colony!AF16,IF($B$33=2,Colony!AG16,IF($B$33=3,Colony!AH16,IF($B$33=4,Colony!AI16,IF($B$33="X",Colony!AK16,"error"))))))</f>
        <v>21</v>
      </c>
      <c r="CH16" s="138">
        <f t="shared" si="54"/>
        <v>-75.67123657586626</v>
      </c>
      <c r="CI16" s="98">
        <f t="shared" si="62"/>
        <v>-54.67123657586626</v>
      </c>
      <c r="CJ16" s="268">
        <f t="shared" si="55"/>
        <v>995.94897005035682</v>
      </c>
      <c r="CK16" s="136">
        <f t="shared" si="25"/>
        <v>497.97448502517841</v>
      </c>
      <c r="CL16" s="95">
        <f t="shared" si="26"/>
        <v>497.97448502517841</v>
      </c>
      <c r="CM16" s="29">
        <f>LN(CL16/BZ16)/$AK$36</f>
        <v>-2.4767508897365235E-2</v>
      </c>
      <c r="CN16" s="274">
        <f t="shared" si="27"/>
        <v>40725</v>
      </c>
      <c r="CO16" s="89">
        <f t="shared" si="28"/>
        <v>272.37693269850826</v>
      </c>
      <c r="CP16" s="21">
        <f t="shared" si="29"/>
        <v>6.4851650642501965E-3</v>
      </c>
      <c r="CQ16" s="146">
        <f t="shared" si="30"/>
        <v>2.0428269952388121</v>
      </c>
      <c r="CR16" t="str">
        <f t="shared" si="67"/>
        <v/>
      </c>
      <c r="CS16" t="str">
        <f t="shared" si="63"/>
        <v/>
      </c>
      <c r="CT16">
        <f t="shared" si="64"/>
        <v>0</v>
      </c>
      <c r="CU16" s="17">
        <f t="shared" si="57"/>
        <v>21557.8125</v>
      </c>
      <c r="CV16" s="18">
        <f t="shared" si="58"/>
        <v>6000</v>
      </c>
      <c r="CW16" s="267">
        <f t="shared" si="59"/>
        <v>15557.8125</v>
      </c>
      <c r="CX16" s="267">
        <f t="shared" si="65"/>
        <v>1022.9794520547945</v>
      </c>
      <c r="CY16" s="104">
        <f t="shared" si="60"/>
        <v>0.75</v>
      </c>
      <c r="CZ16" s="266">
        <f t="shared" si="61"/>
        <v>75.67123657586626</v>
      </c>
      <c r="DB16" s="17">
        <f t="shared" si="66"/>
        <v>425.55441365110727</v>
      </c>
      <c r="DC16" s="165">
        <f>DO$57</f>
        <v>101.87794643293674</v>
      </c>
      <c r="DD16" s="37">
        <f>DN$59</f>
        <v>7.5698478553932053E-2</v>
      </c>
      <c r="DH16" s="2">
        <v>40725</v>
      </c>
      <c r="DI16" s="262">
        <v>43101</v>
      </c>
      <c r="DK16" s="251">
        <v>0.55000000000000004</v>
      </c>
    </row>
    <row r="17" spans="1:130" ht="12.75" customHeight="1" x14ac:dyDescent="0.2">
      <c r="A17" s="416"/>
      <c r="T17" s="125"/>
      <c r="U17" s="2">
        <f t="shared" si="0"/>
        <v>40739</v>
      </c>
      <c r="V17" s="59">
        <f t="shared" si="31"/>
        <v>497.97448502517841</v>
      </c>
      <c r="W17" s="310">
        <f t="shared" si="32"/>
        <v>2.0536232395471959E-2</v>
      </c>
      <c r="X17" s="235">
        <f t="shared" si="33"/>
        <v>45</v>
      </c>
      <c r="Y17" s="123">
        <f t="shared" si="34"/>
        <v>1.463155246305722</v>
      </c>
      <c r="Z17" s="4">
        <f t="shared" si="1"/>
        <v>2.0964729976427177E-2</v>
      </c>
      <c r="AA17" s="3">
        <f t="shared" si="2"/>
        <v>0.41041709344502159</v>
      </c>
      <c r="AB17" s="428">
        <v>25</v>
      </c>
      <c r="AC17" s="430" t="s">
        <v>332</v>
      </c>
      <c r="AD17" s="430"/>
      <c r="AE17" s="430"/>
      <c r="AF17" s="430"/>
      <c r="AG17" s="430"/>
      <c r="AI17" s="437"/>
      <c r="AJ17" s="274">
        <f t="shared" si="35"/>
        <v>40739</v>
      </c>
      <c r="AK17" s="389">
        <f>IF($B$29="d",Colony!H44,IF($B$29="n",Colony!H72,IF($B$29="p",Colony!H100,IF($B$29="a",Colony!H128,IF($B$29="b",Colony!H156,IF($B$29="c",Colony!H184,IF($B$29="r",Colony!H212,IF($B$29="s",Colony!H240,IF($B$29="f",Colony!H268,"error")))))))))</f>
        <v>22</v>
      </c>
      <c r="AL17">
        <f t="shared" si="3"/>
        <v>44000</v>
      </c>
      <c r="AM17" s="81">
        <f>IF($B$29="d",Colony!F44,IF($B$29="n",Colony!F72,IF($B$29="p",Colony!F100,IF($B$29="a",Colony!F128,IF($B$29="b",Colony!F156,IF($B$29="c",Colony!F184,IF($B$29="r",Colony!F212,IF($B$29="s",Colony!F240,IF($B$29="f",Colony!F268,"error")))))))))</f>
        <v>5</v>
      </c>
      <c r="AN17" s="17">
        <f t="shared" si="4"/>
        <v>22500</v>
      </c>
      <c r="AO17" s="21">
        <f t="shared" si="5"/>
        <v>0.51136363636363635</v>
      </c>
      <c r="AP17">
        <f t="shared" si="36"/>
        <v>13500</v>
      </c>
      <c r="AQ17" s="18">
        <f t="shared" si="37"/>
        <v>283.02385468176686</v>
      </c>
      <c r="AR17" s="129">
        <f t="shared" si="6"/>
        <v>1125</v>
      </c>
      <c r="AS17" s="142">
        <f t="shared" si="38"/>
        <v>8.3533716235394344</v>
      </c>
      <c r="AT17" s="27">
        <f t="shared" si="7"/>
        <v>20.353371623539434</v>
      </c>
      <c r="AU17" s="32">
        <f t="shared" si="8"/>
        <v>0.41041709344502159</v>
      </c>
      <c r="AV17" s="131">
        <f t="shared" si="9"/>
        <v>0.58958290655497847</v>
      </c>
      <c r="AW17" s="28">
        <f t="shared" si="10"/>
        <v>293.59724427136331</v>
      </c>
      <c r="AX17" s="258">
        <f t="shared" si="11"/>
        <v>13500</v>
      </c>
      <c r="AY17" s="80">
        <f>IF($B$29="d",Colony!J44,IF($B$29="n",Colony!J72,IF($B$29="p",Colony!J100,IF($B$29="a",Colony!J128,IF($B$29="b",Colony!J156,IF($B$29="c",Colony!J184,IF($B$29="r",Colony!J212,IF($B$29="s",Colony!J212,IF($B$29="f",Colony!J268,"error")))))))))</f>
        <v>0.01</v>
      </c>
      <c r="AZ17" s="106">
        <f t="shared" si="39"/>
        <v>6.4000000000000003E-3</v>
      </c>
      <c r="BA17" s="75">
        <f t="shared" si="40"/>
        <v>3.2000000000000001E-2</v>
      </c>
      <c r="BB17" s="102">
        <f t="shared" si="41"/>
        <v>1.8866653009759312E-2</v>
      </c>
      <c r="BC17" s="72">
        <f t="shared" si="12"/>
        <v>9.3951118166836256</v>
      </c>
      <c r="BD17" s="73">
        <f t="shared" si="42"/>
        <v>0.10873972010050492</v>
      </c>
      <c r="BE17" s="369">
        <f t="shared" si="43"/>
        <v>0.10303615122140664</v>
      </c>
      <c r="BF17" s="370">
        <f t="shared" si="44"/>
        <v>1.0553550264784475</v>
      </c>
      <c r="BG17" s="73">
        <f t="shared" si="13"/>
        <v>23.353371623539434</v>
      </c>
      <c r="BH17" s="368">
        <v>1</v>
      </c>
      <c r="BI17" s="84">
        <f t="shared" si="14"/>
        <v>4.2749999999999995</v>
      </c>
      <c r="BJ17" s="78">
        <f t="shared" si="45"/>
        <v>9.8493837450082944E-2</v>
      </c>
      <c r="BK17" s="103">
        <f t="shared" si="46"/>
        <v>0.57071625354521915</v>
      </c>
      <c r="BL17" s="71">
        <f t="shared" si="47"/>
        <v>13413.6</v>
      </c>
      <c r="BM17" s="71">
        <f t="shared" si="15"/>
        <v>284.20213245467966</v>
      </c>
      <c r="BN17" s="74">
        <f t="shared" si="16"/>
        <v>2.1187610518777929E-2</v>
      </c>
      <c r="BO17" s="366">
        <f t="shared" si="48"/>
        <v>2.0964729976427177E-2</v>
      </c>
      <c r="BP17" s="368">
        <f t="shared" si="49"/>
        <v>1.010583010589196</v>
      </c>
      <c r="BQ17" s="76">
        <f t="shared" si="17"/>
        <v>0.96799999999999997</v>
      </c>
      <c r="BR17" s="74">
        <f t="shared" si="18"/>
        <v>20.353371623539434</v>
      </c>
      <c r="BS17" s="367">
        <v>1</v>
      </c>
      <c r="BT17" s="83">
        <f t="shared" si="50"/>
        <v>2.2586249999999999</v>
      </c>
      <c r="BU17" s="79">
        <f t="shared" si="19"/>
        <v>6.518049768398862E-2</v>
      </c>
      <c r="BV17" s="112">
        <f t="shared" si="20"/>
        <v>3.9057818497189173E-2</v>
      </c>
      <c r="BW17" s="55">
        <f t="shared" si="21"/>
        <v>-6.0180723255630212E-3</v>
      </c>
      <c r="BX17" s="134">
        <f t="shared" si="22"/>
        <v>3.3039746171626153E-2</v>
      </c>
      <c r="BY17" s="134"/>
      <c r="BZ17" s="391">
        <f t="shared" si="69"/>
        <v>497.97448502517841</v>
      </c>
      <c r="CA17" s="242">
        <f t="shared" si="23"/>
        <v>348.58213951762485</v>
      </c>
      <c r="CB17" s="242">
        <f t="shared" si="68"/>
        <v>322.19500190506619</v>
      </c>
      <c r="CC17" s="149">
        <f t="shared" ref="CC17:CC26" si="70">CB17*EXP(BV17*$AK$36)-CB17</f>
        <v>261.37317207594504</v>
      </c>
      <c r="CD17" s="17">
        <f t="shared" si="52"/>
        <v>759.34765710112345</v>
      </c>
      <c r="CE17" s="269">
        <f t="shared" si="53"/>
        <v>66.413579311995363</v>
      </c>
      <c r="CF17" s="136">
        <f t="shared" si="24"/>
        <v>692.93407778912808</v>
      </c>
      <c r="CG17" s="246">
        <f>IF($B$33=0,0, IF($B$33=1,Colony!AF17,IF($B$33=2,Colony!AG17,IF($B$33=3,Colony!AH17,IF($B$33=4,Colony!AI17,IF($B$33="X",Colony!AK17,"error"))))))</f>
        <v>45</v>
      </c>
      <c r="CH17" s="138">
        <f t="shared" si="54"/>
        <v>-57.404892959598754</v>
      </c>
      <c r="CI17" s="98">
        <f t="shared" si="62"/>
        <v>-12.404892959598754</v>
      </c>
      <c r="CJ17" s="268">
        <f t="shared" si="55"/>
        <v>680.5291848295293</v>
      </c>
      <c r="CK17" s="136">
        <f t="shared" si="25"/>
        <v>0</v>
      </c>
      <c r="CL17" s="95">
        <f t="shared" si="26"/>
        <v>680.5291848295293</v>
      </c>
      <c r="CM17" s="29">
        <f t="shared" si="56"/>
        <v>2.0536232395471959E-2</v>
      </c>
      <c r="CN17" s="274">
        <f t="shared" si="27"/>
        <v>40739</v>
      </c>
      <c r="CO17" s="89">
        <f t="shared" si="28"/>
        <v>204.37724075381516</v>
      </c>
      <c r="CP17" s="21">
        <f t="shared" si="29"/>
        <v>4.6449372898594351E-3</v>
      </c>
      <c r="CQ17" s="146">
        <f t="shared" si="30"/>
        <v>1.463155246305722</v>
      </c>
      <c r="CR17" t="str">
        <f t="shared" si="67"/>
        <v/>
      </c>
      <c r="CS17" t="str">
        <f t="shared" si="63"/>
        <v/>
      </c>
      <c r="CT17">
        <f t="shared" si="64"/>
        <v>0</v>
      </c>
      <c r="CU17" s="17">
        <f t="shared" si="57"/>
        <v>18478.125</v>
      </c>
      <c r="CV17" s="18">
        <f t="shared" si="58"/>
        <v>2000</v>
      </c>
      <c r="CW17" s="267">
        <f t="shared" si="59"/>
        <v>16478.125</v>
      </c>
      <c r="CX17" s="267">
        <f t="shared" si="65"/>
        <v>1083.4931506849314</v>
      </c>
      <c r="CY17" s="104">
        <f t="shared" si="60"/>
        <v>0.75</v>
      </c>
      <c r="CZ17" s="266">
        <f t="shared" si="61"/>
        <v>57.404892959598754</v>
      </c>
      <c r="DB17" s="17">
        <f t="shared" si="66"/>
        <v>261.37317207594504</v>
      </c>
      <c r="DC17" s="165">
        <f>DP$57</f>
        <v>77.979103766113298</v>
      </c>
      <c r="DD17" s="37">
        <f>DO$59</f>
        <v>8.3043724630638138E-2</v>
      </c>
      <c r="DH17" s="2">
        <v>40739</v>
      </c>
      <c r="DI17" s="262">
        <v>43115</v>
      </c>
      <c r="DK17" s="251">
        <v>0.56000000000000005</v>
      </c>
      <c r="DL17">
        <v>11.654999999999999</v>
      </c>
    </row>
    <row r="18" spans="1:130" ht="12.75" customHeight="1" x14ac:dyDescent="0.2">
      <c r="A18" s="416"/>
      <c r="B18" s="442" t="str">
        <f>IF($B$29="d",Colony!B30,IF($B$29="n",Colony!B58,IF($B$29="p",Colony!B86,IF($B$29="a",Colony!B114,IF($B$29="b",Colony!B142,IF($B$29="c",Colony!B170,IF($B$29="r",Colony!B198,IF($B$29="s",Colony!B226,IF($B$29="f",Colony!B254,"error")))))))))</f>
        <v>R: Randy's California hives, split 4 ways after almonds and oxalic'd (enter a total 90% mite reduction on Apr 1 from splitting 4 ways, oxalic trtmt &amp; drone frame removal)</v>
      </c>
      <c r="C18" s="442"/>
      <c r="D18" s="442"/>
      <c r="E18" s="442"/>
      <c r="F18" s="442"/>
      <c r="G18" s="442"/>
      <c r="H18" s="442"/>
      <c r="I18" s="442"/>
      <c r="J18" s="442"/>
      <c r="K18" s="442"/>
      <c r="L18" s="442"/>
      <c r="M18" s="442"/>
      <c r="N18" s="442"/>
      <c r="O18" s="442"/>
      <c r="P18" s="442"/>
      <c r="Q18" s="442"/>
      <c r="R18" s="442"/>
      <c r="S18" s="442"/>
      <c r="T18" s="125"/>
      <c r="U18" s="2">
        <f t="shared" si="0"/>
        <v>40756</v>
      </c>
      <c r="V18" s="59">
        <f t="shared" si="31"/>
        <v>680.5291848295293</v>
      </c>
      <c r="W18" s="310">
        <f t="shared" si="32"/>
        <v>2.0919245594147526E-2</v>
      </c>
      <c r="X18" s="235">
        <f t="shared" si="33"/>
        <v>130</v>
      </c>
      <c r="Y18" s="123">
        <f t="shared" si="34"/>
        <v>2.3901263478678696</v>
      </c>
      <c r="Z18" s="4">
        <f t="shared" si="1"/>
        <v>3.8618625314952304E-2</v>
      </c>
      <c r="AA18" s="3">
        <f t="shared" si="2"/>
        <v>0.4459883785025166</v>
      </c>
      <c r="AB18" s="429"/>
      <c r="AC18" s="430"/>
      <c r="AD18" s="430"/>
      <c r="AE18" s="430"/>
      <c r="AF18" s="430"/>
      <c r="AG18" s="430"/>
      <c r="AI18" s="437"/>
      <c r="AJ18" s="274">
        <f t="shared" si="35"/>
        <v>40756</v>
      </c>
      <c r="AK18" s="389">
        <f>IF($B$29="d",Colony!H45,IF($B$29="n",Colony!H73,IF($B$29="p",Colony!H101,IF($B$29="a",Colony!H129,IF($B$29="b",Colony!H157,IF($B$29="c",Colony!H185,IF($B$29="r",Colony!H213,IF($B$29="s",Colony!H241,IF($B$29="f",Colony!H269,"error")))))))))</f>
        <v>20</v>
      </c>
      <c r="AL18">
        <f t="shared" si="3"/>
        <v>40000</v>
      </c>
      <c r="AM18" s="81">
        <f>IF($B$29="d",Colony!F45,IF($B$29="n",Colony!F73,IF($B$29="p",Colony!F101,IF($B$29="a",Colony!F129,IF($B$29="b",Colony!F157,IF($B$29="c",Colony!F185,IF($B$29="r",Colony!F213,IF($B$29="s",Colony!F241,IF($B$29="f",Colony!F269,"error")))))))))</f>
        <v>3.5</v>
      </c>
      <c r="AN18" s="17">
        <f t="shared" si="4"/>
        <v>15750</v>
      </c>
      <c r="AO18" s="21">
        <f t="shared" si="5"/>
        <v>0.39374999999999999</v>
      </c>
      <c r="AP18">
        <f t="shared" si="36"/>
        <v>9450</v>
      </c>
      <c r="AQ18" s="18">
        <f t="shared" si="37"/>
        <v>364.94600922629928</v>
      </c>
      <c r="AR18" s="18">
        <f t="shared" si="6"/>
        <v>787.5</v>
      </c>
      <c r="AS18" s="142">
        <f t="shared" si="38"/>
        <v>9.660195444211471</v>
      </c>
      <c r="AT18" s="27">
        <f t="shared" si="7"/>
        <v>21.660195444211471</v>
      </c>
      <c r="AU18" s="32">
        <f t="shared" si="8"/>
        <v>0.4459883785025166</v>
      </c>
      <c r="AV18" s="131">
        <f t="shared" si="9"/>
        <v>0.5540116214974834</v>
      </c>
      <c r="AW18" s="28">
        <f t="shared" si="10"/>
        <v>377.0210771637681</v>
      </c>
      <c r="AX18" s="258">
        <f t="shared" si="11"/>
        <v>9450</v>
      </c>
      <c r="AY18" s="80">
        <f>IF($B$29="d",Colony!J45,IF($B$29="n",Colony!J73,IF($B$29="p",Colony!J101,IF($B$29="a",Colony!J129,IF($B$29="b",Colony!J157,IF($B$29="c",Colony!J185,IF($B$29="r",Colony!J213,IF($B$29="s",Colony!J213,IF($B$29="f",Colony!J269,"error")))))))))</f>
        <v>5.0000000000000001E-3</v>
      </c>
      <c r="AZ18" s="106">
        <f t="shared" si="39"/>
        <v>3.2000000000000002E-3</v>
      </c>
      <c r="BA18" s="75">
        <f t="shared" si="40"/>
        <v>1.6E-2</v>
      </c>
      <c r="BB18" s="102">
        <f t="shared" si="41"/>
        <v>8.8641859439597352E-3</v>
      </c>
      <c r="BC18" s="72">
        <f t="shared" si="12"/>
        <v>6.0323372346202895</v>
      </c>
      <c r="BD18" s="73">
        <f t="shared" si="42"/>
        <v>0.19948205140940109</v>
      </c>
      <c r="BE18" s="369">
        <f t="shared" si="43"/>
        <v>0.18084507664266491</v>
      </c>
      <c r="BF18" s="370">
        <f t="shared" si="44"/>
        <v>1.1030549192310128</v>
      </c>
      <c r="BG18" s="73">
        <f t="shared" si="13"/>
        <v>24.660195444211471</v>
      </c>
      <c r="BH18" s="368">
        <v>1</v>
      </c>
      <c r="BI18" s="84">
        <f t="shared" si="14"/>
        <v>4.2749999999999995</v>
      </c>
      <c r="BJ18" s="78">
        <f t="shared" si="45"/>
        <v>9.8493837450082944E-2</v>
      </c>
      <c r="BK18" s="103">
        <f t="shared" si="46"/>
        <v>0.54514743555352363</v>
      </c>
      <c r="BL18" s="71">
        <f t="shared" si="47"/>
        <v>9419.76</v>
      </c>
      <c r="BM18" s="71">
        <f t="shared" si="15"/>
        <v>370.98873992914781</v>
      </c>
      <c r="BN18" s="74">
        <f t="shared" si="16"/>
        <v>3.9384096827217233E-2</v>
      </c>
      <c r="BO18" s="366">
        <f t="shared" si="48"/>
        <v>3.8618625314952304E-2</v>
      </c>
      <c r="BP18" s="368">
        <f t="shared" si="49"/>
        <v>1.0197948971806556</v>
      </c>
      <c r="BQ18" s="76">
        <f t="shared" si="17"/>
        <v>0.98399999999999999</v>
      </c>
      <c r="BR18" s="74">
        <f t="shared" si="18"/>
        <v>21.660195444211471</v>
      </c>
      <c r="BS18" s="367">
        <v>1</v>
      </c>
      <c r="BT18" s="83">
        <f t="shared" si="50"/>
        <v>2.2586249999999999</v>
      </c>
      <c r="BU18" s="79">
        <f t="shared" si="19"/>
        <v>6.518049768398862E-2</v>
      </c>
      <c r="BV18" s="112">
        <f t="shared" si="20"/>
        <v>3.640604885002046E-2</v>
      </c>
      <c r="BW18" s="55">
        <f t="shared" si="21"/>
        <v>-6.0180723255630212E-3</v>
      </c>
      <c r="BX18" s="134">
        <f t="shared" si="22"/>
        <v>3.038797652445744E-2</v>
      </c>
      <c r="BY18" s="134"/>
      <c r="BZ18" s="391">
        <f t="shared" si="69"/>
        <v>680.5291848295293</v>
      </c>
      <c r="CA18" s="242">
        <f t="shared" si="23"/>
        <v>476.37042938067049</v>
      </c>
      <c r="CB18" s="242">
        <f t="shared" si="68"/>
        <v>436.81085462100322</v>
      </c>
      <c r="CC18" s="149">
        <f t="shared" si="70"/>
        <v>323.08060037413242</v>
      </c>
      <c r="CD18" s="17">
        <f t="shared" si="52"/>
        <v>1003.6097852036617</v>
      </c>
      <c r="CE18" s="269">
        <f t="shared" si="53"/>
        <v>87.777077396107188</v>
      </c>
      <c r="CF18" s="136">
        <f t="shared" si="24"/>
        <v>915.83270780755447</v>
      </c>
      <c r="CG18" s="246">
        <f>IF($B$33=0,0, IF($B$33=1,Colony!AF18,IF($B$33=2,Colony!AG18,IF($B$33=3,Colony!AH18,IF($B$33=4,Colony!AI18,IF($B$33="X",Colony!AK18,"error"))))))</f>
        <v>130</v>
      </c>
      <c r="CH18" s="138">
        <f t="shared" si="54"/>
        <v>-110.39218232432887</v>
      </c>
      <c r="CI18" s="98">
        <f t="shared" si="62"/>
        <v>19.607817675671129</v>
      </c>
      <c r="CJ18" s="268">
        <f t="shared" si="55"/>
        <v>935.44052548322566</v>
      </c>
      <c r="CK18" s="136">
        <f t="shared" si="25"/>
        <v>0</v>
      </c>
      <c r="CL18" s="95">
        <f t="shared" si="26"/>
        <v>935.44052548322566</v>
      </c>
      <c r="CM18" s="29">
        <f t="shared" si="56"/>
        <v>2.0919245594147526E-2</v>
      </c>
      <c r="CN18" s="274">
        <f t="shared" si="27"/>
        <v>40756</v>
      </c>
      <c r="CO18" s="89">
        <f t="shared" si="28"/>
        <v>303.5081076657612</v>
      </c>
      <c r="CP18" s="21">
        <f t="shared" si="29"/>
        <v>7.5877026916440302E-3</v>
      </c>
      <c r="CQ18" s="146">
        <f t="shared" si="30"/>
        <v>2.3901263478678696</v>
      </c>
      <c r="CR18" t="str">
        <f t="shared" si="67"/>
        <v/>
      </c>
      <c r="CS18" t="str">
        <f t="shared" si="63"/>
        <v/>
      </c>
      <c r="CT18">
        <f t="shared" si="64"/>
        <v>0</v>
      </c>
      <c r="CU18" s="17">
        <f t="shared" si="57"/>
        <v>15398.4375</v>
      </c>
      <c r="CV18" s="18">
        <f t="shared" si="58"/>
        <v>-4000</v>
      </c>
      <c r="CW18" s="267">
        <f t="shared" si="59"/>
        <v>19398.4375</v>
      </c>
      <c r="CX18" s="267">
        <f t="shared" si="65"/>
        <v>1275.513698630137</v>
      </c>
      <c r="CY18" s="104">
        <f t="shared" si="60"/>
        <v>0.75</v>
      </c>
      <c r="CZ18" s="266">
        <f t="shared" si="61"/>
        <v>110.39218232432887</v>
      </c>
      <c r="DB18" s="17">
        <f t="shared" si="66"/>
        <v>323.08060037413242</v>
      </c>
      <c r="DC18" s="165">
        <f>DQ$57</f>
        <v>119.9278812841292</v>
      </c>
      <c r="DD18" s="37">
        <f>DP$59</f>
        <v>9.4885164789868082E-2</v>
      </c>
      <c r="DH18" s="2">
        <v>40756</v>
      </c>
      <c r="DI18" s="262">
        <v>43132</v>
      </c>
      <c r="DK18" s="251">
        <v>0.56000000000000005</v>
      </c>
    </row>
    <row r="19" spans="1:130" ht="12.75" customHeight="1" x14ac:dyDescent="0.2">
      <c r="A19" s="416"/>
      <c r="B19" s="442"/>
      <c r="C19" s="442"/>
      <c r="D19" s="442"/>
      <c r="E19" s="442"/>
      <c r="F19" s="442"/>
      <c r="G19" s="442"/>
      <c r="H19" s="442"/>
      <c r="I19" s="442"/>
      <c r="J19" s="442"/>
      <c r="K19" s="442"/>
      <c r="L19" s="442"/>
      <c r="M19" s="442"/>
      <c r="N19" s="442"/>
      <c r="O19" s="442"/>
      <c r="P19" s="442"/>
      <c r="Q19" s="442"/>
      <c r="R19" s="442"/>
      <c r="S19" s="442"/>
      <c r="T19" s="125">
        <v>0.9</v>
      </c>
      <c r="U19" s="2">
        <f t="shared" si="0"/>
        <v>40770</v>
      </c>
      <c r="V19" s="59">
        <f t="shared" si="31"/>
        <v>935.44052548322566</v>
      </c>
      <c r="W19" s="310">
        <f t="shared" si="32"/>
        <v>-0.12965014510140105</v>
      </c>
      <c r="X19" s="235">
        <f t="shared" si="33"/>
        <v>175</v>
      </c>
      <c r="Y19" s="123">
        <f t="shared" si="34"/>
        <v>3.6780468269599869</v>
      </c>
      <c r="Z19" s="4">
        <f t="shared" si="1"/>
        <v>5.4694045677105008E-2</v>
      </c>
      <c r="AA19" s="3">
        <f t="shared" si="2"/>
        <v>0.42439419686669688</v>
      </c>
      <c r="AB19" s="428" t="s">
        <v>5</v>
      </c>
      <c r="AC19" s="430" t="s">
        <v>146</v>
      </c>
      <c r="AD19" s="430"/>
      <c r="AE19" s="430"/>
      <c r="AF19" s="430"/>
      <c r="AG19" s="430"/>
      <c r="AI19" s="437"/>
      <c r="AJ19" s="274">
        <f t="shared" si="35"/>
        <v>40770</v>
      </c>
      <c r="AK19" s="389">
        <f>IF($B$29="d",Colony!H46,IF($B$29="n",Colony!H74,IF($B$29="p",Colony!H102,IF($B$29="a",Colony!H130,IF($B$29="b",Colony!H158,IF($B$29="c",Colony!H186,IF($B$29="r",Colony!H214,IF($B$29="s",Colony!H242,IF($B$29="f",Colony!H270,"error")))))))))</f>
        <v>17</v>
      </c>
      <c r="AL19">
        <f t="shared" si="3"/>
        <v>34000</v>
      </c>
      <c r="AM19" s="81">
        <f>IF($B$29="d",Colony!F46,IF($B$29="n",Colony!F74,IF($B$29="p",Colony!F102,IF($B$29="a",Colony!F130,IF($B$29="b",Colony!F158,IF($B$29="c",Colony!F186,IF($B$29="r",Colony!F214,IF($B$29="s",Colony!F242,IF($B$29="f",Colony!F270,"error")))))))))</f>
        <v>3.5</v>
      </c>
      <c r="AN19" s="17">
        <f t="shared" si="4"/>
        <v>15750</v>
      </c>
      <c r="AO19" s="21">
        <f t="shared" si="5"/>
        <v>0.46323529411764708</v>
      </c>
      <c r="AP19">
        <f t="shared" si="36"/>
        <v>9450</v>
      </c>
      <c r="AQ19" s="18">
        <f t="shared" si="37"/>
        <v>516.85873164864233</v>
      </c>
      <c r="AR19" s="18">
        <f t="shared" si="6"/>
        <v>787.5</v>
      </c>
      <c r="AS19" s="142">
        <f t="shared" si="38"/>
        <v>8.8476007967225954</v>
      </c>
      <c r="AT19" s="27">
        <f t="shared" si="7"/>
        <v>20.847600796722595</v>
      </c>
      <c r="AU19" s="32">
        <f t="shared" si="8"/>
        <v>0.42439419686669688</v>
      </c>
      <c r="AV19" s="131">
        <f t="shared" si="9"/>
        <v>0.57560580313330312</v>
      </c>
      <c r="AW19" s="28">
        <f t="shared" si="10"/>
        <v>538.44499495421121</v>
      </c>
      <c r="AX19" s="258">
        <f t="shared" si="11"/>
        <v>9450</v>
      </c>
      <c r="AY19" s="80">
        <f>IF($B$29="d",Colony!J46,IF($B$29="n",Colony!J74,IF($B$29="p",Colony!J102,IF($B$29="a",Colony!J130,IF($B$29="b",Colony!J158,IF($B$29="c",Colony!J186,IF($B$29="r",Colony!J214,IF($B$29="s",Colony!J214,IF($B$29="f",Colony!J270,"error")))))))))</f>
        <v>5.0000000000000001E-3</v>
      </c>
      <c r="AZ19" s="106">
        <f t="shared" si="39"/>
        <v>3.2000000000000002E-3</v>
      </c>
      <c r="BA19" s="75">
        <f t="shared" si="40"/>
        <v>1.6E-2</v>
      </c>
      <c r="BB19" s="102">
        <f t="shared" si="41"/>
        <v>9.2096928501328498E-3</v>
      </c>
      <c r="BC19" s="72">
        <f t="shared" si="12"/>
        <v>8.6151199192673804</v>
      </c>
      <c r="BD19" s="73">
        <f t="shared" si="42"/>
        <v>0.28489153172180487</v>
      </c>
      <c r="BE19" s="369">
        <f t="shared" si="43"/>
        <v>0.24790417156525124</v>
      </c>
      <c r="BF19" s="370">
        <f t="shared" si="44"/>
        <v>1.149200232989295</v>
      </c>
      <c r="BG19" s="73">
        <f t="shared" si="13"/>
        <v>23.847600796722595</v>
      </c>
      <c r="BH19" s="368">
        <v>1</v>
      </c>
      <c r="BI19" s="84">
        <f t="shared" si="14"/>
        <v>4.2749999999999995</v>
      </c>
      <c r="BJ19" s="78">
        <f t="shared" si="45"/>
        <v>9.8493837450082944E-2</v>
      </c>
      <c r="BK19" s="103">
        <f t="shared" si="46"/>
        <v>0.56639611028317027</v>
      </c>
      <c r="BL19" s="71">
        <f t="shared" si="47"/>
        <v>9419.76</v>
      </c>
      <c r="BM19" s="71">
        <f t="shared" si="15"/>
        <v>529.82987503494383</v>
      </c>
      <c r="BN19" s="74">
        <f t="shared" si="16"/>
        <v>5.6246642699489563E-2</v>
      </c>
      <c r="BO19" s="366">
        <f t="shared" si="48"/>
        <v>5.4694045677105008E-2</v>
      </c>
      <c r="BP19" s="368">
        <f t="shared" si="49"/>
        <v>1.0283681456551748</v>
      </c>
      <c r="BQ19" s="76">
        <f t="shared" si="17"/>
        <v>0.98399999999999999</v>
      </c>
      <c r="BR19" s="74">
        <f t="shared" si="18"/>
        <v>20.847600796722595</v>
      </c>
      <c r="BS19" s="367">
        <v>1</v>
      </c>
      <c r="BT19" s="83">
        <f t="shared" si="50"/>
        <v>2.2586249999999999</v>
      </c>
      <c r="BU19" s="79">
        <f t="shared" si="19"/>
        <v>6.518049768398862E-2</v>
      </c>
      <c r="BV19" s="112">
        <f t="shared" si="20"/>
        <v>3.7825078345078519E-2</v>
      </c>
      <c r="BW19" s="55">
        <f t="shared" si="21"/>
        <v>-6.0180723255630212E-3</v>
      </c>
      <c r="BX19" s="134">
        <f t="shared" si="22"/>
        <v>3.1807006019515499E-2</v>
      </c>
      <c r="BY19" s="134"/>
      <c r="BZ19" s="391">
        <f t="shared" si="69"/>
        <v>935.44052548322566</v>
      </c>
      <c r="CA19" s="242">
        <f t="shared" si="23"/>
        <v>654.80836783825794</v>
      </c>
      <c r="CB19" s="242">
        <f t="shared" si="68"/>
        <v>592.67676795014029</v>
      </c>
      <c r="CC19" s="149">
        <f t="shared" si="70"/>
        <v>460.85730029711169</v>
      </c>
      <c r="CD19" s="17">
        <f t="shared" si="52"/>
        <v>1396.2978257803375</v>
      </c>
      <c r="CE19" s="269">
        <f t="shared" si="53"/>
        <v>122.12210774396272</v>
      </c>
      <c r="CF19" s="136">
        <f t="shared" si="24"/>
        <v>1274.1757180363747</v>
      </c>
      <c r="CG19" s="246">
        <f>IF($B$33=0,0, IF($B$33=1,Colony!AF19,IF($B$33=2,Colony!AG19,IF($B$33=3,Colony!AH19,IF($B$33=4,Colony!AI19,IF($B$33="X",Colony!AK19,"error"))))))</f>
        <v>175</v>
      </c>
      <c r="CH19" s="138">
        <f t="shared" si="54"/>
        <v>-146.93714974445618</v>
      </c>
      <c r="CI19" s="98">
        <f t="shared" si="62"/>
        <v>28.062850255543822</v>
      </c>
      <c r="CJ19" s="268">
        <f t="shared" si="55"/>
        <v>1302.2385682919185</v>
      </c>
      <c r="CK19" s="136">
        <f t="shared" si="25"/>
        <v>1172.0147114627266</v>
      </c>
      <c r="CL19" s="95">
        <f t="shared" si="26"/>
        <v>130.22385682919185</v>
      </c>
      <c r="CM19" s="29">
        <f t="shared" si="56"/>
        <v>-0.12965014510140105</v>
      </c>
      <c r="CN19" s="274">
        <f t="shared" si="27"/>
        <v>40770</v>
      </c>
      <c r="CO19" s="89">
        <f t="shared" si="28"/>
        <v>396.99553052901445</v>
      </c>
      <c r="CP19" s="21">
        <f t="shared" si="29"/>
        <v>1.1676339133206308E-2</v>
      </c>
      <c r="CQ19" s="146">
        <f t="shared" si="30"/>
        <v>3.6780468269599869</v>
      </c>
      <c r="CR19" t="str">
        <f t="shared" si="67"/>
        <v/>
      </c>
      <c r="CS19" t="str">
        <f t="shared" si="63"/>
        <v/>
      </c>
      <c r="CT19">
        <f t="shared" si="64"/>
        <v>0</v>
      </c>
      <c r="CU19" s="17">
        <f t="shared" si="57"/>
        <v>10778.90625</v>
      </c>
      <c r="CV19" s="18">
        <f t="shared" si="58"/>
        <v>-6000</v>
      </c>
      <c r="CW19" s="267">
        <f t="shared" si="59"/>
        <v>16778.90625</v>
      </c>
      <c r="CX19" s="267">
        <f t="shared" si="65"/>
        <v>1103.2705479452054</v>
      </c>
      <c r="CY19" s="104">
        <f t="shared" si="60"/>
        <v>0.75</v>
      </c>
      <c r="CZ19" s="266">
        <f t="shared" si="61"/>
        <v>146.93714974445618</v>
      </c>
      <c r="DB19" s="17">
        <f t="shared" si="66"/>
        <v>460.85730029711169</v>
      </c>
      <c r="DC19" s="165">
        <f>DR$57</f>
        <v>185.53536348976522</v>
      </c>
      <c r="DD19" s="37">
        <f>DQ$59</f>
        <v>0.11166786423716102</v>
      </c>
      <c r="DF19" s="37"/>
      <c r="DH19" s="2">
        <v>40770</v>
      </c>
      <c r="DI19" s="262">
        <v>43146</v>
      </c>
      <c r="DL19">
        <v>13.23</v>
      </c>
    </row>
    <row r="20" spans="1:130" ht="12.75" customHeight="1" x14ac:dyDescent="0.2">
      <c r="A20" s="416"/>
      <c r="B20" s="277" t="s">
        <v>241</v>
      </c>
      <c r="C20" s="277"/>
      <c r="D20" s="277"/>
      <c r="E20" s="277"/>
      <c r="F20" s="277"/>
      <c r="G20" s="277"/>
      <c r="H20" s="277"/>
      <c r="I20" s="277"/>
      <c r="J20" s="277"/>
      <c r="K20" s="277"/>
      <c r="L20" s="277"/>
      <c r="M20" s="277"/>
      <c r="N20" s="277"/>
      <c r="O20" s="277"/>
      <c r="P20" s="277"/>
      <c r="Q20" s="277"/>
      <c r="R20" s="277"/>
      <c r="S20" s="278"/>
      <c r="T20" s="125"/>
      <c r="U20" s="2">
        <f t="shared" si="0"/>
        <v>40787</v>
      </c>
      <c r="V20" s="59">
        <f t="shared" si="31"/>
        <v>130.22385682919185</v>
      </c>
      <c r="W20" s="310">
        <f t="shared" si="32"/>
        <v>6.5480994781031088E-2</v>
      </c>
      <c r="X20" s="235">
        <f t="shared" si="33"/>
        <v>210</v>
      </c>
      <c r="Y20" s="123">
        <f t="shared" si="34"/>
        <v>0.68970202928730251</v>
      </c>
      <c r="Z20" s="4">
        <f t="shared" si="1"/>
        <v>1.2600538869358635E-2</v>
      </c>
      <c r="AA20" s="3">
        <f t="shared" si="2"/>
        <v>0.47078045866951518</v>
      </c>
      <c r="AB20" s="429"/>
      <c r="AC20" s="430"/>
      <c r="AD20" s="430"/>
      <c r="AE20" s="430"/>
      <c r="AF20" s="430"/>
      <c r="AG20" s="430"/>
      <c r="AI20" s="437"/>
      <c r="AJ20" s="274">
        <f t="shared" si="35"/>
        <v>40787</v>
      </c>
      <c r="AK20" s="389">
        <f>IF($B$29="d",Colony!H47,IF($B$29="n",Colony!H75,IF($B$29="p",Colony!H103,IF($B$29="a",Colony!H131,IF($B$29="b",Colony!H159,IF($B$29="c",Colony!H187,IF($B$29="r",Colony!H215,IF($B$29="s",Colony!H243,IF($B$29="f",Colony!H271,"error")))))))))</f>
        <v>14</v>
      </c>
      <c r="AL20">
        <f t="shared" si="3"/>
        <v>28000</v>
      </c>
      <c r="AM20" s="81">
        <f>IF($B$29="d",Colony!F47,IF($B$29="n",Colony!F75,IF($B$29="p",Colony!F103,IF($B$29="a",Colony!F131,IF($B$29="b",Colony!F159,IF($B$29="c",Colony!F187,IF($B$29="r",Colony!F215,IF($B$29="s",Colony!F243,IF($B$29="f",Colony!F271,"error")))))))))</f>
        <v>2</v>
      </c>
      <c r="AN20" s="17">
        <f t="shared" si="4"/>
        <v>9000</v>
      </c>
      <c r="AO20" s="21">
        <f t="shared" si="5"/>
        <v>0.32142857142857145</v>
      </c>
      <c r="AP20">
        <f t="shared" si="36"/>
        <v>5400</v>
      </c>
      <c r="AQ20" s="18">
        <f t="shared" si="37"/>
        <v>68.042909894536635</v>
      </c>
      <c r="AR20" s="18">
        <f t="shared" si="6"/>
        <v>450</v>
      </c>
      <c r="AS20" s="142">
        <f t="shared" si="38"/>
        <v>10.674899664194921</v>
      </c>
      <c r="AT20" s="27">
        <f t="shared" si="7"/>
        <v>22.674899664194921</v>
      </c>
      <c r="AU20" s="32">
        <f t="shared" si="8"/>
        <v>0.47078045866951518</v>
      </c>
      <c r="AV20" s="131">
        <f t="shared" si="9"/>
        <v>0.52921954133048477</v>
      </c>
      <c r="AW20" s="28">
        <f t="shared" si="10"/>
        <v>68.917009781431631</v>
      </c>
      <c r="AX20" s="258">
        <f t="shared" si="11"/>
        <v>5400</v>
      </c>
      <c r="AY20" s="80">
        <f>IF($B$29="d",Colony!J47,IF($B$29="n",Colony!J75,IF($B$29="p",Colony!J103,IF($B$29="a",Colony!J131,IF($B$29="b",Colony!J159,IF($B$29="c",Colony!J187,IF($B$29="r",Colony!J215,IF($B$29="s",Colony!J215,IF($B$29="f",Colony!J271,"error")))))))))</f>
        <v>2.5000000000000001E-3</v>
      </c>
      <c r="AZ20" s="106">
        <f t="shared" si="39"/>
        <v>1.6000000000000001E-3</v>
      </c>
      <c r="BA20" s="75">
        <f t="shared" si="40"/>
        <v>8.0000000000000002E-3</v>
      </c>
      <c r="BB20" s="102">
        <f t="shared" si="41"/>
        <v>4.2337563306438786E-3</v>
      </c>
      <c r="BC20" s="72">
        <f t="shared" si="12"/>
        <v>0.55133607825145303</v>
      </c>
      <c r="BD20" s="73">
        <f t="shared" si="42"/>
        <v>6.3812046093918176E-2</v>
      </c>
      <c r="BE20" s="369">
        <f t="shared" si="43"/>
        <v>6.181868219634945E-2</v>
      </c>
      <c r="BF20" s="370">
        <f t="shared" si="44"/>
        <v>1.0322453314555844</v>
      </c>
      <c r="BG20" s="73">
        <f t="shared" si="13"/>
        <v>25.674899664194921</v>
      </c>
      <c r="BH20" s="368">
        <v>1</v>
      </c>
      <c r="BI20" s="84">
        <f t="shared" si="14"/>
        <v>4.2749999999999995</v>
      </c>
      <c r="BJ20" s="78">
        <f t="shared" si="45"/>
        <v>9.8493837450082944E-2</v>
      </c>
      <c r="BK20" s="103">
        <f t="shared" si="46"/>
        <v>0.52498578499984094</v>
      </c>
      <c r="BL20" s="71">
        <f t="shared" si="47"/>
        <v>5391.36</v>
      </c>
      <c r="BM20" s="71">
        <f t="shared" si="15"/>
        <v>68.365673703180178</v>
      </c>
      <c r="BN20" s="74">
        <f t="shared" si="16"/>
        <v>1.2680598903278613E-2</v>
      </c>
      <c r="BO20" s="366">
        <f t="shared" si="48"/>
        <v>1.2600538869358635E-2</v>
      </c>
      <c r="BP20" s="368">
        <f t="shared" si="49"/>
        <v>1.006273839627017</v>
      </c>
      <c r="BQ20" s="76">
        <f t="shared" si="17"/>
        <v>0.99199999999999999</v>
      </c>
      <c r="BR20" s="74">
        <f t="shared" si="18"/>
        <v>22.674899664194921</v>
      </c>
      <c r="BS20" s="367">
        <v>1</v>
      </c>
      <c r="BT20" s="83">
        <f t="shared" si="50"/>
        <v>2.2586249999999999</v>
      </c>
      <c r="BU20" s="79">
        <f t="shared" si="19"/>
        <v>6.518049768398862E-2</v>
      </c>
      <c r="BV20" s="112">
        <f t="shared" si="20"/>
        <v>3.4635833651142776E-2</v>
      </c>
      <c r="BW20" s="55">
        <f t="shared" si="21"/>
        <v>-6.0180723255630212E-3</v>
      </c>
      <c r="BX20" s="134">
        <f t="shared" si="22"/>
        <v>2.8617761325579756E-2</v>
      </c>
      <c r="BY20" s="134"/>
      <c r="BZ20" s="391">
        <f t="shared" si="69"/>
        <v>130.22385682919185</v>
      </c>
      <c r="CA20" s="242">
        <f t="shared" si="23"/>
        <v>91.15669978043428</v>
      </c>
      <c r="CB20" s="242">
        <f t="shared" si="68"/>
        <v>80.977425805045101</v>
      </c>
      <c r="CC20" s="149">
        <f t="shared" si="70"/>
        <v>56.151798658150369</v>
      </c>
      <c r="CD20" s="17">
        <f t="shared" si="52"/>
        <v>186.37565548734221</v>
      </c>
      <c r="CE20" s="269">
        <f t="shared" si="53"/>
        <v>16.300668424773107</v>
      </c>
      <c r="CF20" s="136">
        <f t="shared" si="24"/>
        <v>170.07498706256911</v>
      </c>
      <c r="CG20" s="246">
        <f>IF($B$33=0,0, IF($B$33=1,Colony!AF20,IF($B$33=2,Colony!AG20,IF($B$33=3,Colony!AH20,IF($B$33=4,Colony!AI20,IF($B$33="X",Colony!AK20,"error"))))))</f>
        <v>210</v>
      </c>
      <c r="CH20" s="138">
        <f t="shared" si="54"/>
        <v>-27.553442118681911</v>
      </c>
      <c r="CI20" s="98">
        <f t="shared" si="62"/>
        <v>182.44655788131809</v>
      </c>
      <c r="CJ20" s="268">
        <f t="shared" si="55"/>
        <v>352.52154494388719</v>
      </c>
      <c r="CK20" s="136">
        <f t="shared" si="25"/>
        <v>0</v>
      </c>
      <c r="CL20" s="95">
        <f t="shared" si="26"/>
        <v>352.52154494388719</v>
      </c>
      <c r="CM20" s="29">
        <f t="shared" si="56"/>
        <v>6.5480994781031088E-2</v>
      </c>
      <c r="CN20" s="274">
        <f t="shared" si="27"/>
        <v>40787</v>
      </c>
      <c r="CO20" s="89">
        <f t="shared" si="28"/>
        <v>61.306847047760215</v>
      </c>
      <c r="CP20" s="21">
        <f t="shared" si="29"/>
        <v>2.1895302517057221E-3</v>
      </c>
      <c r="CQ20" s="146">
        <f t="shared" si="30"/>
        <v>0.68970202928730251</v>
      </c>
      <c r="CR20" t="str">
        <f t="shared" si="67"/>
        <v/>
      </c>
      <c r="CS20" t="str">
        <f t="shared" si="63"/>
        <v/>
      </c>
      <c r="CT20">
        <f t="shared" si="64"/>
        <v>0</v>
      </c>
      <c r="CU20" s="17">
        <f t="shared" si="57"/>
        <v>10778.90625</v>
      </c>
      <c r="CV20" s="18">
        <f t="shared" si="58"/>
        <v>-6000</v>
      </c>
      <c r="CW20" s="267">
        <f t="shared" si="59"/>
        <v>16778.90625</v>
      </c>
      <c r="CX20" s="267">
        <f t="shared" si="65"/>
        <v>1103.2705479452054</v>
      </c>
      <c r="CY20" s="104">
        <f t="shared" si="60"/>
        <v>0.75</v>
      </c>
      <c r="CZ20" s="266">
        <f t="shared" si="61"/>
        <v>27.553442118681911</v>
      </c>
      <c r="DB20" s="17">
        <f t="shared" si="66"/>
        <v>56.151798658150369</v>
      </c>
      <c r="DC20" s="165">
        <f>DS$57</f>
        <v>27.920172598508408</v>
      </c>
      <c r="DD20" s="37">
        <f>DR$59</f>
        <v>0.12865410510187236</v>
      </c>
      <c r="DH20" s="2">
        <v>40787</v>
      </c>
      <c r="DI20" s="262">
        <v>43160</v>
      </c>
    </row>
    <row r="21" spans="1:130" ht="12.75" customHeight="1" x14ac:dyDescent="0.2">
      <c r="B21" s="439" t="s">
        <v>349</v>
      </c>
      <c r="C21" s="439"/>
      <c r="D21" s="439"/>
      <c r="E21" s="439"/>
      <c r="F21" s="439"/>
      <c r="G21" s="439"/>
      <c r="H21" s="439"/>
      <c r="I21" s="439"/>
      <c r="J21" s="439"/>
      <c r="K21" s="439"/>
      <c r="L21" s="439"/>
      <c r="M21" s="439"/>
      <c r="N21" s="439"/>
      <c r="O21" s="439"/>
      <c r="P21" s="439"/>
      <c r="Q21" s="439"/>
      <c r="R21" s="439"/>
      <c r="S21" s="440"/>
      <c r="T21" s="125"/>
      <c r="U21" s="2">
        <f t="shared" si="0"/>
        <v>40801</v>
      </c>
      <c r="V21" s="59">
        <f t="shared" si="31"/>
        <v>352.52154494388719</v>
      </c>
      <c r="W21" s="310">
        <f t="shared" si="32"/>
        <v>3.6922746863460289E-2</v>
      </c>
      <c r="X21" s="235">
        <f t="shared" si="33"/>
        <v>180</v>
      </c>
      <c r="Y21" s="123">
        <f t="shared" si="34"/>
        <v>1.8335342092770903</v>
      </c>
      <c r="Z21" s="4">
        <f t="shared" si="1"/>
        <v>2.5932358783740783E-2</v>
      </c>
      <c r="AA21" s="3">
        <f t="shared" si="2"/>
        <v>0.39628172098980846</v>
      </c>
      <c r="AB21" s="441" t="s">
        <v>341</v>
      </c>
      <c r="AC21" s="430" t="s">
        <v>159</v>
      </c>
      <c r="AD21" s="430"/>
      <c r="AE21" s="430"/>
      <c r="AF21" s="430"/>
      <c r="AG21" s="430"/>
      <c r="AI21" s="437"/>
      <c r="AJ21" s="274">
        <f t="shared" si="35"/>
        <v>40801</v>
      </c>
      <c r="AK21" s="389">
        <f>IF($B$29="d",Colony!H48,IF($B$29="n",Colony!H76,IF($B$29="p",Colony!H104,IF($B$29="a",Colony!H132,IF($B$29="b",Colony!H160,IF($B$29="c",Colony!H188,IF($B$29="r",Colony!H216,IF($B$29="s",Colony!H244,IF($B$29="f",Colony!H272,"error")))))))))</f>
        <v>12</v>
      </c>
      <c r="AL21">
        <f t="shared" si="3"/>
        <v>24000</v>
      </c>
      <c r="AM21" s="81">
        <f>IF($B$29="d",Colony!F48,IF($B$29="n",Colony!F76,IF($B$29="p",Colony!F104,IF($B$29="a",Colony!F132,IF($B$29="b",Colony!F160,IF($B$29="c",Colony!F188,IF($B$29="r",Colony!F216,IF($B$29="s",Colony!F244,IF($B$29="f",Colony!F272,"error")))))))))</f>
        <v>3</v>
      </c>
      <c r="AN21" s="17">
        <f t="shared" si="4"/>
        <v>13500</v>
      </c>
      <c r="AO21" s="21">
        <f t="shared" si="5"/>
        <v>0.5625</v>
      </c>
      <c r="AP21">
        <f t="shared" si="36"/>
        <v>8100</v>
      </c>
      <c r="AQ21" s="18">
        <f t="shared" si="37"/>
        <v>210.05210614830034</v>
      </c>
      <c r="AR21" s="18">
        <f t="shared" si="6"/>
        <v>675</v>
      </c>
      <c r="AS21" s="142">
        <f t="shared" si="38"/>
        <v>7.8768207245178088</v>
      </c>
      <c r="AT21" s="27">
        <f t="shared" si="7"/>
        <v>19.87682072451781</v>
      </c>
      <c r="AU21" s="32">
        <f t="shared" si="8"/>
        <v>0.39628172098980846</v>
      </c>
      <c r="AV21" s="131">
        <f t="shared" si="9"/>
        <v>0.60371827901019159</v>
      </c>
      <c r="AW21" s="28">
        <f t="shared" si="10"/>
        <v>212.82370042753749</v>
      </c>
      <c r="AX21" s="258">
        <f t="shared" si="11"/>
        <v>8100</v>
      </c>
      <c r="AY21" s="80">
        <f>IF($B$29="d",Colony!J48,IF($B$29="n",Colony!J76,IF($B$29="p",Colony!J104,IF($B$29="a",Colony!J132,IF($B$29="b",Colony!J160,IF($B$29="c",Colony!J188,IF($B$29="r",Colony!J216,IF($B$29="s",Colony!J216,IF($B$29="f",Colony!J272,"error")))))))))</f>
        <v>0</v>
      </c>
      <c r="AZ21" s="106">
        <f t="shared" si="39"/>
        <v>0</v>
      </c>
      <c r="BA21" s="75">
        <f t="shared" si="40"/>
        <v>0</v>
      </c>
      <c r="BB21" s="102">
        <f t="shared" si="41"/>
        <v>0</v>
      </c>
      <c r="BC21" s="72">
        <f t="shared" si="12"/>
        <v>0</v>
      </c>
      <c r="BD21" s="73">
        <f t="shared" si="42"/>
        <v>0</v>
      </c>
      <c r="BE21" s="369">
        <f t="shared" si="43"/>
        <v>0</v>
      </c>
      <c r="BF21" s="370">
        <f t="shared" si="44"/>
        <v>0</v>
      </c>
      <c r="BG21" s="73">
        <f t="shared" si="13"/>
        <v>22.87682072451781</v>
      </c>
      <c r="BH21" s="368">
        <v>1</v>
      </c>
      <c r="BI21" s="84">
        <f t="shared" si="14"/>
        <v>4.2749999999999995</v>
      </c>
      <c r="BJ21" s="78">
        <f t="shared" si="45"/>
        <v>9.8493837450082944E-2</v>
      </c>
      <c r="BK21" s="103">
        <f t="shared" si="46"/>
        <v>0.60371827901019159</v>
      </c>
      <c r="BL21" s="71">
        <f t="shared" si="47"/>
        <v>8100</v>
      </c>
      <c r="BM21" s="71">
        <f t="shared" si="15"/>
        <v>212.82370042753749</v>
      </c>
      <c r="BN21" s="74">
        <f t="shared" si="16"/>
        <v>2.6274530916979937E-2</v>
      </c>
      <c r="BO21" s="366">
        <f t="shared" si="48"/>
        <v>2.5932358783740783E-2</v>
      </c>
      <c r="BP21" s="368">
        <f t="shared" si="49"/>
        <v>1.0131557248748302</v>
      </c>
      <c r="BQ21" s="76">
        <f t="shared" si="17"/>
        <v>1</v>
      </c>
      <c r="BR21" s="74">
        <f t="shared" si="18"/>
        <v>19.87682072451781</v>
      </c>
      <c r="BS21" s="367">
        <v>1</v>
      </c>
      <c r="BT21" s="83">
        <f t="shared" si="50"/>
        <v>2.2586249999999999</v>
      </c>
      <c r="BU21" s="79">
        <f t="shared" si="19"/>
        <v>6.518049768398862E-2</v>
      </c>
      <c r="BV21" s="112">
        <f t="shared" si="20"/>
        <v>3.935065788680539E-2</v>
      </c>
      <c r="BW21" s="55">
        <f t="shared" si="21"/>
        <v>-6.0180723255630212E-3</v>
      </c>
      <c r="BX21" s="134">
        <f t="shared" si="22"/>
        <v>3.333258556124237E-2</v>
      </c>
      <c r="BY21" s="134"/>
      <c r="BZ21" s="391">
        <f t="shared" si="69"/>
        <v>352.52154494388719</v>
      </c>
      <c r="CA21" s="242">
        <f t="shared" si="23"/>
        <v>246.76508146072101</v>
      </c>
      <c r="CB21" s="242">
        <f t="shared" si="68"/>
        <v>215.0177407350013</v>
      </c>
      <c r="CC21" s="149">
        <f t="shared" si="70"/>
        <v>176.16642523257499</v>
      </c>
      <c r="CD21" s="17">
        <f t="shared" si="52"/>
        <v>528.68797017646216</v>
      </c>
      <c r="CE21" s="269">
        <f t="shared" si="53"/>
        <v>46.239769241740589</v>
      </c>
      <c r="CF21" s="136">
        <f t="shared" si="24"/>
        <v>482.44820093472157</v>
      </c>
      <c r="CG21" s="246">
        <f>IF($B$33=0,0, IF($B$33=1,Colony!AF21,IF($B$33=2,Colony!AG21,IF($B$33=3,Colony!AH21,IF($B$33=4,Colony!AI21,IF($B$33="X",Colony!AK21,"error"))))))</f>
        <v>180</v>
      </c>
      <c r="CH21" s="138">
        <f t="shared" si="54"/>
        <v>-44.351337160415333</v>
      </c>
      <c r="CI21" s="98">
        <f t="shared" si="62"/>
        <v>135.64866283958466</v>
      </c>
      <c r="CJ21" s="268">
        <f t="shared" si="55"/>
        <v>618.09686377430626</v>
      </c>
      <c r="CK21" s="136">
        <f t="shared" si="25"/>
        <v>0</v>
      </c>
      <c r="CL21" s="95">
        <f t="shared" si="26"/>
        <v>618.09686377430626</v>
      </c>
      <c r="CM21" s="29">
        <f t="shared" si="56"/>
        <v>3.6922746863460289E-2</v>
      </c>
      <c r="CN21" s="274">
        <f t="shared" si="27"/>
        <v>40801</v>
      </c>
      <c r="CO21" s="89">
        <f t="shared" si="28"/>
        <v>139.69784451634973</v>
      </c>
      <c r="CP21" s="21">
        <f t="shared" si="29"/>
        <v>5.8207435215145726E-3</v>
      </c>
      <c r="CQ21" s="146">
        <f t="shared" si="30"/>
        <v>1.8335342092770903</v>
      </c>
      <c r="CR21" t="str">
        <f t="shared" si="67"/>
        <v/>
      </c>
      <c r="CS21" t="str">
        <f t="shared" si="63"/>
        <v/>
      </c>
      <c r="CT21">
        <f t="shared" si="64"/>
        <v>0</v>
      </c>
      <c r="CU21" s="17">
        <f t="shared" si="57"/>
        <v>6159.375</v>
      </c>
      <c r="CV21" s="18">
        <f t="shared" si="58"/>
        <v>-4000</v>
      </c>
      <c r="CW21" s="267">
        <f t="shared" si="59"/>
        <v>10159.375</v>
      </c>
      <c r="CX21" s="267">
        <f t="shared" si="65"/>
        <v>668.01369863013701</v>
      </c>
      <c r="CY21" s="104">
        <f t="shared" si="60"/>
        <v>0.75</v>
      </c>
      <c r="CZ21" s="266">
        <f t="shared" si="61"/>
        <v>44.351337160415333</v>
      </c>
      <c r="DB21" s="17">
        <f t="shared" si="66"/>
        <v>176.16642523257499</v>
      </c>
      <c r="DC21" s="165">
        <f>DT$57</f>
        <v>39.059096821483394</v>
      </c>
      <c r="DD21" s="37">
        <f>DS$59</f>
        <v>0.14857761047227985</v>
      </c>
      <c r="DH21" s="2">
        <v>40801</v>
      </c>
      <c r="DI21" s="262">
        <v>43174</v>
      </c>
      <c r="DL21">
        <v>19.53</v>
      </c>
    </row>
    <row r="22" spans="1:130" ht="12.6" customHeight="1" x14ac:dyDescent="0.2">
      <c r="A22" s="298"/>
      <c r="B22" s="439"/>
      <c r="C22" s="439"/>
      <c r="D22" s="439"/>
      <c r="E22" s="439"/>
      <c r="F22" s="439"/>
      <c r="G22" s="439"/>
      <c r="H22" s="439"/>
      <c r="I22" s="439"/>
      <c r="J22" s="439"/>
      <c r="K22" s="439"/>
      <c r="L22" s="439"/>
      <c r="M22" s="439"/>
      <c r="N22" s="439"/>
      <c r="O22" s="439"/>
      <c r="P22" s="439"/>
      <c r="Q22" s="439"/>
      <c r="R22" s="439"/>
      <c r="S22" s="440"/>
      <c r="T22" s="125"/>
      <c r="U22" s="2">
        <f t="shared" si="0"/>
        <v>40817</v>
      </c>
      <c r="V22" s="59">
        <f t="shared" si="31"/>
        <v>618.09686377430626</v>
      </c>
      <c r="W22" s="310">
        <f t="shared" si="32"/>
        <v>2.2825110396090278E-2</v>
      </c>
      <c r="X22" s="235">
        <f t="shared" si="33"/>
        <v>130</v>
      </c>
      <c r="Y22" s="123">
        <f t="shared" si="34"/>
        <v>3.575310571476749</v>
      </c>
      <c r="Z22" s="4">
        <f t="shared" si="1"/>
        <v>4.7135996079854525E-2</v>
      </c>
      <c r="AA22" s="3">
        <f t="shared" si="2"/>
        <v>0.36726257503053183</v>
      </c>
      <c r="AB22" s="441"/>
      <c r="AC22" s="430"/>
      <c r="AD22" s="430"/>
      <c r="AE22" s="430"/>
      <c r="AF22" s="430"/>
      <c r="AG22" s="430"/>
      <c r="AI22" s="437"/>
      <c r="AJ22" s="274">
        <f t="shared" si="35"/>
        <v>40817</v>
      </c>
      <c r="AK22" s="389">
        <f>IF($B$29="d",Colony!H49,IF($B$29="n",Colony!H77,IF($B$29="p",Colony!H105,IF($B$29="a",Colony!H133,IF($B$29="b",Colony!H161,IF($B$29="c",Colony!H189,IF($B$29="r",Colony!H217,IF($B$29="s",Colony!H245,IF($B$29="f",Colony!H273,"error")))))))))</f>
        <v>10</v>
      </c>
      <c r="AL22">
        <f t="shared" si="3"/>
        <v>20000</v>
      </c>
      <c r="AM22" s="81">
        <f>IF($B$29="d",Colony!F49,IF($B$29="n",Colony!F77,IF($B$29="p",Colony!F105,IF($B$29="a",Colony!F133,IF($B$29="b",Colony!F161,IF($B$29="c",Colony!F189,IF($B$29="r",Colony!F217,IF($B$29="s",Colony!F245,IF($B$29="f",Colony!F273,"error")))))))))</f>
        <v>3</v>
      </c>
      <c r="AN22" s="17">
        <f t="shared" si="4"/>
        <v>13500</v>
      </c>
      <c r="AO22" s="21">
        <f t="shared" si="5"/>
        <v>0.67500000000000004</v>
      </c>
      <c r="AP22">
        <f t="shared" si="36"/>
        <v>8100</v>
      </c>
      <c r="AQ22" s="18">
        <f t="shared" si="37"/>
        <v>381.80156824682166</v>
      </c>
      <c r="AR22" s="18">
        <f t="shared" si="6"/>
        <v>675</v>
      </c>
      <c r="AS22" s="142">
        <f t="shared" si="38"/>
        <v>6.9652129405480361</v>
      </c>
      <c r="AT22" s="27">
        <f t="shared" si="7"/>
        <v>18.965212940548035</v>
      </c>
      <c r="AU22" s="32">
        <f t="shared" si="8"/>
        <v>0.36726257503053183</v>
      </c>
      <c r="AV22" s="131">
        <f t="shared" si="9"/>
        <v>0.63273742496946817</v>
      </c>
      <c r="AW22" s="28">
        <f t="shared" si="10"/>
        <v>391.09301796625869</v>
      </c>
      <c r="AX22" s="258">
        <f t="shared" si="11"/>
        <v>8100</v>
      </c>
      <c r="AY22" s="80">
        <f>IF($B$29="d",Colony!J49,IF($B$29="n",Colony!J77,IF($B$29="p",Colony!J105,IF($B$29="a",Colony!J133,IF($B$29="b",Colony!J161,IF($B$29="c",Colony!J189,IF($B$29="r",Colony!J217,IF($B$29="s",Colony!J217,IF($B$29="f",Colony!J273,"error")))))))))</f>
        <v>0</v>
      </c>
      <c r="AZ22" s="106">
        <f t="shared" si="39"/>
        <v>0</v>
      </c>
      <c r="BA22" s="75">
        <f t="shared" si="40"/>
        <v>0</v>
      </c>
      <c r="BB22" s="102">
        <f t="shared" si="41"/>
        <v>0</v>
      </c>
      <c r="BC22" s="72">
        <f t="shared" si="12"/>
        <v>0</v>
      </c>
      <c r="BD22" s="73">
        <f t="shared" si="42"/>
        <v>0</v>
      </c>
      <c r="BE22" s="369">
        <f t="shared" si="43"/>
        <v>0</v>
      </c>
      <c r="BF22" s="370">
        <f t="shared" si="44"/>
        <v>0</v>
      </c>
      <c r="BG22" s="73">
        <f t="shared" si="13"/>
        <v>21.965212940548035</v>
      </c>
      <c r="BH22" s="368">
        <v>1</v>
      </c>
      <c r="BI22" s="84">
        <f t="shared" si="14"/>
        <v>4.2749999999999995</v>
      </c>
      <c r="BJ22" s="78">
        <f t="shared" si="45"/>
        <v>9.8493837450082944E-2</v>
      </c>
      <c r="BK22" s="103">
        <f t="shared" si="46"/>
        <v>0.63273742496946817</v>
      </c>
      <c r="BL22" s="71">
        <f t="shared" si="47"/>
        <v>8100</v>
      </c>
      <c r="BM22" s="71">
        <f t="shared" si="15"/>
        <v>391.09301796625869</v>
      </c>
      <c r="BN22" s="74">
        <f t="shared" si="16"/>
        <v>4.8283088637809717E-2</v>
      </c>
      <c r="BO22" s="366">
        <f t="shared" si="48"/>
        <v>4.7135996079854525E-2</v>
      </c>
      <c r="BP22" s="368">
        <f t="shared" si="49"/>
        <v>1.0243140771213677</v>
      </c>
      <c r="BQ22" s="76">
        <f t="shared" si="17"/>
        <v>1</v>
      </c>
      <c r="BR22" s="74">
        <f t="shared" si="18"/>
        <v>18.965212940548035</v>
      </c>
      <c r="BS22" s="367">
        <v>1</v>
      </c>
      <c r="BT22" s="83">
        <f t="shared" si="50"/>
        <v>2.2586249999999999</v>
      </c>
      <c r="BU22" s="79">
        <f t="shared" si="19"/>
        <v>6.518049768398862E-2</v>
      </c>
      <c r="BV22" s="112">
        <f t="shared" si="20"/>
        <v>4.1242140262795345E-2</v>
      </c>
      <c r="BW22" s="55">
        <f t="shared" si="21"/>
        <v>-6.0180723255630212E-3</v>
      </c>
      <c r="BX22" s="134">
        <f t="shared" si="22"/>
        <v>3.5224067937232324E-2</v>
      </c>
      <c r="BY22" s="134"/>
      <c r="BZ22" s="391">
        <f t="shared" si="69"/>
        <v>618.09686377430626</v>
      </c>
      <c r="CA22" s="242">
        <f t="shared" si="23"/>
        <v>432.66780464201435</v>
      </c>
      <c r="CB22" s="242">
        <f t="shared" si="68"/>
        <v>368.38305610001669</v>
      </c>
      <c r="CC22" s="149">
        <f t="shared" si="70"/>
        <v>321.37957575838777</v>
      </c>
      <c r="CD22" s="17">
        <f t="shared" si="52"/>
        <v>939.47643953269403</v>
      </c>
      <c r="CE22" s="269">
        <f t="shared" si="53"/>
        <v>82.167887719375017</v>
      </c>
      <c r="CF22" s="136">
        <f t="shared" si="24"/>
        <v>857.30855181331901</v>
      </c>
      <c r="CG22" s="246">
        <f>IF($B$33=0,0, IF($B$33=1,Colony!AF22,IF($B$33=2,Colony!AG22,IF($B$33=3,Colony!AH22,IF($B$33=4,Colony!AI22,IF($B$33="X",Colony!AK22,"error"))))))</f>
        <v>130</v>
      </c>
      <c r="CH22" s="138">
        <f t="shared" si="54"/>
        <v>-112.69942883974142</v>
      </c>
      <c r="CI22" s="98">
        <f t="shared" si="62"/>
        <v>17.300571160258585</v>
      </c>
      <c r="CJ22" s="268">
        <f t="shared" si="55"/>
        <v>874.60912297357754</v>
      </c>
      <c r="CK22" s="136">
        <f t="shared" si="25"/>
        <v>0</v>
      </c>
      <c r="CL22" s="95">
        <f t="shared" si="26"/>
        <v>874.60912297357754</v>
      </c>
      <c r="CM22" s="29">
        <f t="shared" si="56"/>
        <v>2.2825110396090278E-2</v>
      </c>
      <c r="CN22" s="274">
        <f t="shared" si="27"/>
        <v>40817</v>
      </c>
      <c r="CO22" s="89">
        <f t="shared" si="28"/>
        <v>227.00384580804757</v>
      </c>
      <c r="CP22" s="21">
        <f t="shared" si="29"/>
        <v>1.1350192290402378E-2</v>
      </c>
      <c r="CQ22" s="146">
        <f t="shared" si="30"/>
        <v>3.575310571476749</v>
      </c>
      <c r="CR22" t="str">
        <f t="shared" si="67"/>
        <v/>
      </c>
      <c r="CS22" t="str">
        <f t="shared" si="63"/>
        <v/>
      </c>
      <c r="CT22">
        <f t="shared" si="64"/>
        <v>0</v>
      </c>
      <c r="CU22" s="17">
        <f t="shared" si="57"/>
        <v>9239.0625</v>
      </c>
      <c r="CV22" s="18">
        <f t="shared" si="58"/>
        <v>-4000</v>
      </c>
      <c r="CW22" s="267">
        <f t="shared" si="59"/>
        <v>13239.0625</v>
      </c>
      <c r="CX22" s="267">
        <f t="shared" si="65"/>
        <v>870.5136986301369</v>
      </c>
      <c r="CY22" s="104">
        <f t="shared" si="60"/>
        <v>0.75</v>
      </c>
      <c r="CZ22" s="266">
        <f t="shared" si="61"/>
        <v>112.69942883974142</v>
      </c>
      <c r="DB22" s="17">
        <f t="shared" si="66"/>
        <v>321.37957575838777</v>
      </c>
      <c r="DC22" s="165">
        <f>DU$57</f>
        <v>52.330966167932694</v>
      </c>
      <c r="DD22" s="37">
        <f>DT$59</f>
        <v>0.1122831323120915</v>
      </c>
      <c r="DH22" s="2">
        <v>40817</v>
      </c>
      <c r="DI22" s="262">
        <v>43191</v>
      </c>
    </row>
    <row r="23" spans="1:130" ht="12.6" customHeight="1" x14ac:dyDescent="0.2">
      <c r="A23" s="298"/>
      <c r="B23" s="439"/>
      <c r="C23" s="439"/>
      <c r="D23" s="439"/>
      <c r="E23" s="439"/>
      <c r="F23" s="439"/>
      <c r="G23" s="439"/>
      <c r="H23" s="439"/>
      <c r="I23" s="439"/>
      <c r="J23" s="439"/>
      <c r="K23" s="439"/>
      <c r="L23" s="439"/>
      <c r="M23" s="439"/>
      <c r="N23" s="439"/>
      <c r="O23" s="439"/>
      <c r="P23" s="439"/>
      <c r="Q23" s="439"/>
      <c r="R23" s="439"/>
      <c r="S23" s="440"/>
      <c r="T23" s="125"/>
      <c r="U23" s="2">
        <f t="shared" si="0"/>
        <v>40831</v>
      </c>
      <c r="V23" s="59">
        <f t="shared" si="31"/>
        <v>874.60912297357754</v>
      </c>
      <c r="W23" s="310">
        <f t="shared" si="32"/>
        <v>1.7349953117883871E-2</v>
      </c>
      <c r="X23" s="235">
        <f t="shared" si="33"/>
        <v>75</v>
      </c>
      <c r="Y23" s="123">
        <f t="shared" si="34"/>
        <v>5.8137865986653967</v>
      </c>
      <c r="Z23" s="4">
        <f t="shared" si="1"/>
        <v>7.7210822712638238E-2</v>
      </c>
      <c r="AA23" s="3">
        <f t="shared" si="2"/>
        <v>0.37984554281470778</v>
      </c>
      <c r="AG23" s="37"/>
      <c r="AI23" s="437"/>
      <c r="AJ23" s="274">
        <f t="shared" si="35"/>
        <v>40831</v>
      </c>
      <c r="AK23" s="389">
        <f>IF($B$29="d",Colony!H50,IF($B$29="n",Colony!H78,IF($B$29="p",Colony!H106,IF($B$29="a",Colony!H134,IF($B$29="b",Colony!H162,IF($B$29="c",Colony!H190,IF($B$29="r",Colony!H218,IF($B$29="s",Colony!H246,IF($B$29="f",Colony!H274,"error")))))))))</f>
        <v>9</v>
      </c>
      <c r="AL23">
        <f t="shared" si="3"/>
        <v>18000</v>
      </c>
      <c r="AM23" s="81">
        <f>IF($B$29="d",Colony!F50,IF($B$29="n",Colony!F78,IF($B$29="p",Colony!F106,IF($B$29="a",Colony!F134,IF($B$29="b",Colony!F162,IF($B$29="c",Colony!F190,IF($B$29="r",Colony!F218,IF($B$29="s",Colony!F246,IF($B$29="f",Colony!F274,"error")))))))))</f>
        <v>2.5</v>
      </c>
      <c r="AN23" s="17">
        <f t="shared" si="4"/>
        <v>11250</v>
      </c>
      <c r="AO23" s="21">
        <f t="shared" si="5"/>
        <v>0.625</v>
      </c>
      <c r="AP23">
        <f t="shared" si="36"/>
        <v>6750</v>
      </c>
      <c r="AQ23" s="18">
        <f t="shared" si="37"/>
        <v>521.17305331030809</v>
      </c>
      <c r="AR23" s="18">
        <f t="shared" si="6"/>
        <v>562.5</v>
      </c>
      <c r="AS23" s="142">
        <f t="shared" si="38"/>
        <v>7.3500181462286776</v>
      </c>
      <c r="AT23" s="27">
        <f t="shared" si="7"/>
        <v>19.350018146228678</v>
      </c>
      <c r="AU23" s="32">
        <f t="shared" si="8"/>
        <v>0.37984554281470778</v>
      </c>
      <c r="AV23" s="131">
        <f t="shared" si="9"/>
        <v>0.62015445718529216</v>
      </c>
      <c r="AW23" s="28">
        <f t="shared" si="10"/>
        <v>542.39274590698346</v>
      </c>
      <c r="AX23" s="258">
        <f t="shared" si="11"/>
        <v>6750</v>
      </c>
      <c r="AY23" s="80">
        <f>IF($B$29="d",Colony!J50,IF($B$29="n",Colony!J78,IF($B$29="p",Colony!J106,IF($B$29="a",Colony!J134,IF($B$29="b",Colony!J162,IF($B$29="c",Colony!J190,IF($B$29="r",Colony!J218,IF($B$29="s",Colony!J218,IF($B$29="f",Colony!J274,"error")))))))))</f>
        <v>0</v>
      </c>
      <c r="AZ23" s="106">
        <f t="shared" si="39"/>
        <v>0</v>
      </c>
      <c r="BA23" s="75">
        <f t="shared" si="40"/>
        <v>0</v>
      </c>
      <c r="BB23" s="102">
        <f t="shared" si="41"/>
        <v>0</v>
      </c>
      <c r="BC23" s="72">
        <f t="shared" si="12"/>
        <v>0</v>
      </c>
      <c r="BD23" s="73">
        <f t="shared" si="42"/>
        <v>0</v>
      </c>
      <c r="BE23" s="369">
        <f t="shared" si="43"/>
        <v>0</v>
      </c>
      <c r="BF23" s="370">
        <f t="shared" si="44"/>
        <v>0</v>
      </c>
      <c r="BG23" s="73">
        <f t="shared" si="13"/>
        <v>22.350018146228678</v>
      </c>
      <c r="BH23" s="368">
        <v>1</v>
      </c>
      <c r="BI23" s="84">
        <f t="shared" si="14"/>
        <v>4.2749999999999995</v>
      </c>
      <c r="BJ23" s="78">
        <f t="shared" si="45"/>
        <v>9.8493837450082944E-2</v>
      </c>
      <c r="BK23" s="103">
        <f t="shared" si="46"/>
        <v>0.62015445718529216</v>
      </c>
      <c r="BL23" s="71">
        <f t="shared" si="47"/>
        <v>6750</v>
      </c>
      <c r="BM23" s="71">
        <f t="shared" si="15"/>
        <v>542.39274590698346</v>
      </c>
      <c r="BN23" s="74">
        <f t="shared" si="16"/>
        <v>8.0354480875108658E-2</v>
      </c>
      <c r="BO23" s="366">
        <f t="shared" si="48"/>
        <v>7.7210822712638238E-2</v>
      </c>
      <c r="BP23" s="368">
        <f t="shared" si="49"/>
        <v>1.0407017740555944</v>
      </c>
      <c r="BQ23" s="76">
        <f t="shared" si="17"/>
        <v>1</v>
      </c>
      <c r="BR23" s="74">
        <f t="shared" si="18"/>
        <v>19.350018146228678</v>
      </c>
      <c r="BS23" s="367">
        <v>1</v>
      </c>
      <c r="BT23" s="83">
        <f t="shared" si="50"/>
        <v>2.2586249999999999</v>
      </c>
      <c r="BU23" s="79">
        <f t="shared" si="19"/>
        <v>6.518049768398862E-2</v>
      </c>
      <c r="BV23" s="112">
        <f t="shared" si="20"/>
        <v>4.0421976160281155E-2</v>
      </c>
      <c r="BW23" s="55">
        <f t="shared" si="21"/>
        <v>-6.0180723255630212E-3</v>
      </c>
      <c r="BX23" s="134">
        <f t="shared" si="22"/>
        <v>3.4403903834718134E-2</v>
      </c>
      <c r="BY23" s="134"/>
      <c r="BZ23" s="391">
        <f t="shared" si="69"/>
        <v>874.60912297357754</v>
      </c>
      <c r="CA23" s="242">
        <f t="shared" si="23"/>
        <v>612.22638608150419</v>
      </c>
      <c r="CB23" s="242">
        <f t="shared" si="68"/>
        <v>543.48368976816107</v>
      </c>
      <c r="CC23" s="149">
        <f t="shared" si="70"/>
        <v>461.52411250847194</v>
      </c>
      <c r="CD23" s="17">
        <f t="shared" si="52"/>
        <v>1336.1332354820495</v>
      </c>
      <c r="CE23" s="269">
        <f t="shared" si="53"/>
        <v>116.86003081229342</v>
      </c>
      <c r="CF23" s="136">
        <f t="shared" si="24"/>
        <v>1219.2732046697561</v>
      </c>
      <c r="CG23" s="246">
        <f>IF($B$33=0,0, IF($B$33=1,Colony!AF23,IF($B$33=2,Colony!AG23,IF($B$33=3,Colony!AH23,IF($B$33=4,Colony!AI23,IF($B$33="X",Colony!AK23,"error"))))))</f>
        <v>75</v>
      </c>
      <c r="CH23" s="138">
        <f t="shared" si="54"/>
        <v>-155.5750260572924</v>
      </c>
      <c r="CI23" s="98">
        <f t="shared" si="62"/>
        <v>-80.575026057292405</v>
      </c>
      <c r="CJ23" s="268">
        <f t="shared" si="55"/>
        <v>1138.6981786124636</v>
      </c>
      <c r="CK23" s="136">
        <f t="shared" si="25"/>
        <v>0</v>
      </c>
      <c r="CL23" s="95">
        <f t="shared" si="26"/>
        <v>1138.6981786124636</v>
      </c>
      <c r="CM23" s="29">
        <f t="shared" si="56"/>
        <v>1.7349953117883871E-2</v>
      </c>
      <c r="CN23" s="274">
        <f t="shared" si="27"/>
        <v>40831</v>
      </c>
      <c r="CO23" s="89">
        <f t="shared" si="28"/>
        <v>332.21637706659408</v>
      </c>
      <c r="CP23" s="21">
        <f t="shared" si="29"/>
        <v>1.8456465392588561E-2</v>
      </c>
      <c r="CQ23" s="146">
        <f t="shared" si="30"/>
        <v>5.8137865986653967</v>
      </c>
      <c r="CR23" t="str">
        <f t="shared" si="67"/>
        <v/>
      </c>
      <c r="CS23" t="str">
        <f t="shared" si="63"/>
        <v/>
      </c>
      <c r="CT23">
        <f t="shared" si="64"/>
        <v>0</v>
      </c>
      <c r="CU23" s="17">
        <f t="shared" si="57"/>
        <v>9239.0625</v>
      </c>
      <c r="CV23" s="18">
        <f t="shared" si="58"/>
        <v>-2000</v>
      </c>
      <c r="CW23" s="267">
        <f t="shared" si="59"/>
        <v>11239.0625</v>
      </c>
      <c r="CX23" s="267">
        <f t="shared" si="65"/>
        <v>739.00684931506851</v>
      </c>
      <c r="CY23" s="104">
        <f t="shared" si="60"/>
        <v>0.75</v>
      </c>
      <c r="CZ23" s="266">
        <f t="shared" si="61"/>
        <v>155.5750260572924</v>
      </c>
      <c r="DB23" s="17">
        <f t="shared" si="66"/>
        <v>461.52411250847194</v>
      </c>
      <c r="DC23" s="165">
        <f>DV$57</f>
        <v>68.38656360278776</v>
      </c>
      <c r="DD23" s="37">
        <f>DU$59</f>
        <v>8.1867443122922587E-2</v>
      </c>
      <c r="DH23" s="2">
        <v>40831</v>
      </c>
      <c r="DI23" s="262">
        <v>43205</v>
      </c>
      <c r="DL23">
        <v>25.83</v>
      </c>
    </row>
    <row r="24" spans="1:130" ht="12.75" customHeight="1" x14ac:dyDescent="0.2">
      <c r="A24" s="298"/>
      <c r="B24" s="443" t="s">
        <v>216</v>
      </c>
      <c r="C24" s="443"/>
      <c r="D24" s="443"/>
      <c r="E24" s="443"/>
      <c r="F24" s="443"/>
      <c r="G24" s="443"/>
      <c r="H24" s="443"/>
      <c r="I24" s="443"/>
      <c r="J24" s="443"/>
      <c r="K24" s="443"/>
      <c r="L24" s="443"/>
      <c r="M24" s="443"/>
      <c r="N24" s="443"/>
      <c r="O24" s="443"/>
      <c r="P24" s="443"/>
      <c r="Q24" s="444"/>
      <c r="R24" s="445">
        <f>LN(V21/V11)/(U21-U11)</f>
        <v>9.4741388669757134E-3</v>
      </c>
      <c r="S24" s="445"/>
      <c r="T24" s="125"/>
      <c r="U24" s="2">
        <f t="shared" si="0"/>
        <v>40848</v>
      </c>
      <c r="V24" s="59">
        <f t="shared" si="31"/>
        <v>1138.6981786124636</v>
      </c>
      <c r="W24" s="310">
        <f t="shared" si="32"/>
        <v>1.3353436028977622E-2</v>
      </c>
      <c r="X24" s="235">
        <f t="shared" si="33"/>
        <v>14</v>
      </c>
      <c r="Y24" s="123">
        <f t="shared" si="34"/>
        <v>8.8838913300737392</v>
      </c>
      <c r="Z24" s="4">
        <f t="shared" si="1"/>
        <v>0.1195358729681093</v>
      </c>
      <c r="AA24" s="3">
        <f t="shared" si="2"/>
        <v>0.39628172098980846</v>
      </c>
      <c r="AG24" s="37"/>
      <c r="AI24" s="437"/>
      <c r="AJ24" s="274">
        <f t="shared" si="35"/>
        <v>40848</v>
      </c>
      <c r="AK24" s="389">
        <f>IF($B$29="d",Colony!H51,IF($B$29="n",Colony!H79,IF($B$29="p",Colony!H107,IF($B$29="a",Colony!H135,IF($B$29="b",Colony!H163,IF($B$29="c",Colony!H191,IF($B$29="r",Colony!H219,IF($B$29="s",Colony!H247,IF($B$29="f",Colony!H275,"error")))))))))</f>
        <v>8</v>
      </c>
      <c r="AL24">
        <f t="shared" si="3"/>
        <v>16000</v>
      </c>
      <c r="AM24" s="81">
        <f>IF($B$29="d",Colony!F51,IF($B$29="n",Colony!F79,IF($B$29="p",Colony!F107,IF($B$29="a",Colony!F135,IF($B$29="b",Colony!F163,IF($B$29="c",Colony!F191,IF($B$29="r",Colony!F219,IF($B$29="s",Colony!F247,IF($B$29="f",Colony!F275,"error")))))))))</f>
        <v>2</v>
      </c>
      <c r="AN24" s="17">
        <f t="shared" si="4"/>
        <v>9000</v>
      </c>
      <c r="AO24" s="21">
        <f t="shared" si="5"/>
        <v>0.5625</v>
      </c>
      <c r="AP24">
        <f t="shared" si="36"/>
        <v>5400</v>
      </c>
      <c r="AQ24" s="18">
        <f t="shared" si="37"/>
        <v>645.49371402779025</v>
      </c>
      <c r="AR24" s="18">
        <f t="shared" si="6"/>
        <v>450</v>
      </c>
      <c r="AS24" s="142">
        <f t="shared" si="38"/>
        <v>7.8768207245178088</v>
      </c>
      <c r="AT24" s="27">
        <f t="shared" si="7"/>
        <v>19.87682072451781</v>
      </c>
      <c r="AU24" s="32">
        <f t="shared" si="8"/>
        <v>0.39628172098980846</v>
      </c>
      <c r="AV24" s="131">
        <f t="shared" si="9"/>
        <v>0.60371827901019159</v>
      </c>
      <c r="AW24" s="28">
        <f t="shared" si="10"/>
        <v>687.45290470395628</v>
      </c>
      <c r="AX24" s="258">
        <f t="shared" si="11"/>
        <v>5400</v>
      </c>
      <c r="AY24" s="80">
        <f>IF($B$29="d",Colony!J51,IF($B$29="n",Colony!J79,IF($B$29="p",Colony!J107,IF($B$29="a",Colony!J135,IF($B$29="b",Colony!J163,IF($B$29="c",Colony!J191,IF($B$29="r",Colony!J219,IF($B$29="s",Colony!J219,IF($B$29="f",Colony!J275,"error")))))))))</f>
        <v>0</v>
      </c>
      <c r="AZ24" s="106">
        <f t="shared" si="39"/>
        <v>0</v>
      </c>
      <c r="BA24" s="75">
        <f t="shared" si="40"/>
        <v>0</v>
      </c>
      <c r="BB24" s="102">
        <f t="shared" si="41"/>
        <v>0</v>
      </c>
      <c r="BC24" s="72">
        <f t="shared" si="12"/>
        <v>0</v>
      </c>
      <c r="BD24" s="73">
        <f t="shared" si="42"/>
        <v>0</v>
      </c>
      <c r="BE24" s="369">
        <f t="shared" si="43"/>
        <v>0</v>
      </c>
      <c r="BF24" s="370">
        <f t="shared" si="44"/>
        <v>0</v>
      </c>
      <c r="BG24" s="73">
        <f t="shared" si="13"/>
        <v>22.87682072451781</v>
      </c>
      <c r="BH24" s="368">
        <v>1</v>
      </c>
      <c r="BI24" s="84">
        <f t="shared" si="14"/>
        <v>4.2749999999999995</v>
      </c>
      <c r="BJ24" s="78">
        <f t="shared" si="45"/>
        <v>9.8493837450082944E-2</v>
      </c>
      <c r="BK24" s="103">
        <f t="shared" si="46"/>
        <v>0.60371827901019159</v>
      </c>
      <c r="BL24" s="71">
        <f t="shared" si="47"/>
        <v>5400</v>
      </c>
      <c r="BM24" s="71">
        <f t="shared" si="15"/>
        <v>687.45290470395628</v>
      </c>
      <c r="BN24" s="74">
        <f t="shared" si="16"/>
        <v>0.12730609346369562</v>
      </c>
      <c r="BO24" s="366">
        <f t="shared" si="48"/>
        <v>0.1195358729681093</v>
      </c>
      <c r="BP24" s="368">
        <f t="shared" si="49"/>
        <v>1.0649943427720334</v>
      </c>
      <c r="BQ24" s="76">
        <f t="shared" si="17"/>
        <v>1</v>
      </c>
      <c r="BR24" s="74">
        <f t="shared" si="18"/>
        <v>19.87682072451781</v>
      </c>
      <c r="BS24" s="367">
        <v>1</v>
      </c>
      <c r="BT24" s="83">
        <f t="shared" si="50"/>
        <v>2.2586249999999999</v>
      </c>
      <c r="BU24" s="79">
        <f t="shared" si="19"/>
        <v>6.518049768398862E-2</v>
      </c>
      <c r="BV24" s="112">
        <f t="shared" si="20"/>
        <v>3.935065788680539E-2</v>
      </c>
      <c r="BW24" s="55">
        <f t="shared" si="21"/>
        <v>-6.0180723255630212E-3</v>
      </c>
      <c r="BX24" s="134">
        <f t="shared" si="22"/>
        <v>3.333258556124237E-2</v>
      </c>
      <c r="BY24" s="134"/>
      <c r="BZ24" s="391">
        <f t="shared" si="69"/>
        <v>1138.6981786124636</v>
      </c>
      <c r="CA24" s="242">
        <f t="shared" si="23"/>
        <v>797.08872502872453</v>
      </c>
      <c r="CB24" s="242">
        <f t="shared" si="68"/>
        <v>731.83310916851258</v>
      </c>
      <c r="CC24" s="149">
        <f t="shared" si="70"/>
        <v>599.59900177702355</v>
      </c>
      <c r="CD24" s="17">
        <f t="shared" si="52"/>
        <v>1738.297180389487</v>
      </c>
      <c r="CE24" s="269">
        <f t="shared" si="53"/>
        <v>152.0338366465005</v>
      </c>
      <c r="CF24" s="136">
        <f t="shared" si="24"/>
        <v>1586.2633437429865</v>
      </c>
      <c r="CG24" s="246">
        <f>IF($B$33=0,0, IF($B$33=1,Colony!AF24,IF($B$33=2,Colony!AG24,IF($B$33=3,Colony!AH24,IF($B$33=4,Colony!AI24,IF($B$33="X",Colony!AK24,"error"))))))</f>
        <v>14</v>
      </c>
      <c r="CH24" s="138">
        <f t="shared" si="54"/>
        <v>-205.1590603847944</v>
      </c>
      <c r="CI24" s="98">
        <f t="shared" si="62"/>
        <v>-191.1590603847944</v>
      </c>
      <c r="CJ24" s="268">
        <f t="shared" si="55"/>
        <v>1395.1042833581921</v>
      </c>
      <c r="CK24" s="136">
        <f t="shared" si="25"/>
        <v>0</v>
      </c>
      <c r="CL24" s="95">
        <f t="shared" si="26"/>
        <v>1395.1042833581921</v>
      </c>
      <c r="CM24" s="29">
        <f t="shared" si="56"/>
        <v>1.3353436028977622E-2</v>
      </c>
      <c r="CN24" s="274">
        <f t="shared" si="27"/>
        <v>40848</v>
      </c>
      <c r="CO24" s="89">
        <f t="shared" si="28"/>
        <v>451.24527390850739</v>
      </c>
      <c r="CP24" s="21">
        <f t="shared" si="29"/>
        <v>2.8202829619281711E-2</v>
      </c>
      <c r="CQ24" s="146">
        <f t="shared" si="30"/>
        <v>8.8838913300737392</v>
      </c>
      <c r="CR24" t="str">
        <f t="shared" si="67"/>
        <v/>
      </c>
      <c r="CS24" t="str">
        <f t="shared" si="63"/>
        <v/>
      </c>
      <c r="CT24">
        <f t="shared" si="64"/>
        <v>0</v>
      </c>
      <c r="CU24" s="17">
        <f t="shared" si="57"/>
        <v>7699.21875</v>
      </c>
      <c r="CV24" s="18">
        <f t="shared" si="58"/>
        <v>-2000</v>
      </c>
      <c r="CW24" s="267">
        <f t="shared" si="59"/>
        <v>9699.21875</v>
      </c>
      <c r="CX24" s="267">
        <f t="shared" si="65"/>
        <v>637.75684931506851</v>
      </c>
      <c r="CY24" s="104">
        <f t="shared" si="60"/>
        <v>0.75</v>
      </c>
      <c r="CZ24" s="266">
        <f t="shared" si="61"/>
        <v>205.1590603847944</v>
      </c>
      <c r="DB24" s="17">
        <f t="shared" si="66"/>
        <v>599.59900177702355</v>
      </c>
      <c r="DC24" s="165">
        <f>DW$57</f>
        <v>91.829428387000092</v>
      </c>
      <c r="DD24" s="37">
        <f>DV$59</f>
        <v>6.5406321064131384E-2</v>
      </c>
      <c r="DH24" s="2">
        <v>40848</v>
      </c>
      <c r="DI24" s="262">
        <v>43221</v>
      </c>
    </row>
    <row r="25" spans="1:130" ht="12.75" customHeight="1" x14ac:dyDescent="0.2">
      <c r="A25" s="298"/>
      <c r="B25" s="446" t="s">
        <v>212</v>
      </c>
      <c r="C25" s="446"/>
      <c r="D25" s="446"/>
      <c r="E25" s="446"/>
      <c r="F25" s="446"/>
      <c r="G25" s="446"/>
      <c r="H25" s="446"/>
      <c r="I25" s="446"/>
      <c r="J25" s="446"/>
      <c r="K25" s="446"/>
      <c r="L25" s="446"/>
      <c r="M25" s="446"/>
      <c r="N25" s="446"/>
      <c r="O25" s="446"/>
      <c r="P25" s="446"/>
      <c r="Q25" s="447"/>
      <c r="R25" s="448" t="s">
        <v>148</v>
      </c>
      <c r="S25" s="449"/>
      <c r="T25" s="125">
        <v>0.9</v>
      </c>
      <c r="U25" s="2">
        <f t="shared" si="0"/>
        <v>40862</v>
      </c>
      <c r="V25" s="59">
        <f t="shared" si="31"/>
        <v>1395.1042833581921</v>
      </c>
      <c r="W25" s="310">
        <f t="shared" si="32"/>
        <v>-0.14885707561063385</v>
      </c>
      <c r="X25" s="235">
        <f t="shared" si="33"/>
        <v>0</v>
      </c>
      <c r="Y25" s="123">
        <f t="shared" si="34"/>
        <v>16.980167791374157</v>
      </c>
      <c r="Z25" s="4">
        <f t="shared" si="1"/>
        <v>0.37773716462728191</v>
      </c>
      <c r="AA25" s="3">
        <f t="shared" si="2"/>
        <v>0.54094459680424589</v>
      </c>
      <c r="AG25" s="37"/>
      <c r="AI25" s="437"/>
      <c r="AJ25" s="274">
        <f t="shared" si="35"/>
        <v>40862</v>
      </c>
      <c r="AK25" s="389">
        <f>IF($B$29="d",Colony!H52,IF($B$29="n",Colony!H80,IF($B$29="p",Colony!H108,IF($B$29="a",Colony!H136,IF($B$29="b",Colony!H164,IF($B$29="c",Colony!H192,IF($B$29="r",Colony!H220,IF($B$29="s",Colony!H248,IF($B$29="f",Colony!H276,"error")))))))))</f>
        <v>7</v>
      </c>
      <c r="AL25">
        <f t="shared" si="3"/>
        <v>14000</v>
      </c>
      <c r="AM25" s="81">
        <f>IF($B$29="d",Colony!F52,IF($B$29="n",Colony!F80,IF($B$29="p",Colony!F108,IF($B$29="a",Colony!F136,IF($B$29="b",Colony!F164,IF($B$29="c",Colony!F192,IF($B$29="r",Colony!F220,IF($B$29="s",Colony!F248,IF($B$29="f",Colony!F276,"error")))))))))</f>
        <v>0.5</v>
      </c>
      <c r="AN25" s="17">
        <f t="shared" si="4"/>
        <v>2250</v>
      </c>
      <c r="AO25" s="21">
        <f t="shared" si="5"/>
        <v>0.16071428571428573</v>
      </c>
      <c r="AP25">
        <f t="shared" si="36"/>
        <v>1350</v>
      </c>
      <c r="AQ25" s="18">
        <f t="shared" si="37"/>
        <v>509.94517224683057</v>
      </c>
      <c r="AR25" s="18">
        <f t="shared" si="6"/>
        <v>112.5</v>
      </c>
      <c r="AS25" s="142">
        <f t="shared" si="38"/>
        <v>14.14063556699465</v>
      </c>
      <c r="AT25" s="27">
        <f t="shared" si="7"/>
        <v>26.14063556699465</v>
      </c>
      <c r="AU25" s="32">
        <f t="shared" si="8"/>
        <v>0.54094459680424589</v>
      </c>
      <c r="AV25" s="131">
        <f t="shared" si="9"/>
        <v>0.45905540319575411</v>
      </c>
      <c r="AW25" s="28">
        <f t="shared" si="10"/>
        <v>640.43015929711851</v>
      </c>
      <c r="AX25" s="258">
        <f t="shared" si="11"/>
        <v>1350</v>
      </c>
      <c r="AY25" s="80">
        <f>IF($B$29="d",Colony!J52,IF($B$29="n",Colony!J80,IF($B$29="p",Colony!J108,IF($B$29="a",Colony!J136,IF($B$29="b",Colony!J164,IF($B$29="c",Colony!J192,IF($B$29="r",Colony!J220,IF($B$29="s",Colony!J220,IF($B$29="f",Colony!J276,"error")))))))))</f>
        <v>0</v>
      </c>
      <c r="AZ25" s="106">
        <f t="shared" si="39"/>
        <v>0</v>
      </c>
      <c r="BA25" s="75">
        <f t="shared" si="40"/>
        <v>0</v>
      </c>
      <c r="BB25" s="102">
        <f t="shared" si="41"/>
        <v>0</v>
      </c>
      <c r="BC25" s="72">
        <f t="shared" si="12"/>
        <v>0</v>
      </c>
      <c r="BD25" s="73">
        <f t="shared" si="42"/>
        <v>0</v>
      </c>
      <c r="BE25" s="369">
        <f t="shared" si="43"/>
        <v>0</v>
      </c>
      <c r="BF25" s="370">
        <f t="shared" si="44"/>
        <v>0</v>
      </c>
      <c r="BG25" s="73">
        <f t="shared" si="13"/>
        <v>29.14063556699465</v>
      </c>
      <c r="BH25" s="368">
        <v>1</v>
      </c>
      <c r="BI25" s="84">
        <f t="shared" si="14"/>
        <v>4.2749999999999995</v>
      </c>
      <c r="BJ25" s="78">
        <f t="shared" si="45"/>
        <v>9.8493837450082944E-2</v>
      </c>
      <c r="BK25" s="103">
        <f t="shared" si="46"/>
        <v>0.45905540319575411</v>
      </c>
      <c r="BL25" s="71">
        <f t="shared" si="47"/>
        <v>1350</v>
      </c>
      <c r="BM25" s="71">
        <f t="shared" si="15"/>
        <v>640.43015929711851</v>
      </c>
      <c r="BN25" s="74">
        <f t="shared" si="16"/>
        <v>0.47439271059045818</v>
      </c>
      <c r="BO25" s="366">
        <f t="shared" si="48"/>
        <v>0.37773716462728191</v>
      </c>
      <c r="BP25" s="368">
        <f t="shared" si="49"/>
        <v>1.2558770995738446</v>
      </c>
      <c r="BQ25" s="76">
        <f t="shared" si="17"/>
        <v>1</v>
      </c>
      <c r="BR25" s="74">
        <f t="shared" si="18"/>
        <v>26.14063556699465</v>
      </c>
      <c r="BS25" s="367">
        <v>1</v>
      </c>
      <c r="BT25" s="83">
        <f t="shared" si="50"/>
        <v>2.2586249999999999</v>
      </c>
      <c r="BU25" s="79">
        <f t="shared" si="19"/>
        <v>6.518049768398862E-2</v>
      </c>
      <c r="BV25" s="112">
        <f t="shared" si="20"/>
        <v>2.9921459644823314E-2</v>
      </c>
      <c r="BW25" s="55">
        <f t="shared" si="21"/>
        <v>-5.0125418235442863E-3</v>
      </c>
      <c r="BX25" s="134">
        <f t="shared" si="22"/>
        <v>2.4908917821279027E-2</v>
      </c>
      <c r="BY25" s="134"/>
      <c r="BZ25" s="391">
        <f t="shared" si="69"/>
        <v>1395.1042833581921</v>
      </c>
      <c r="CA25" s="242">
        <f t="shared" si="23"/>
        <v>976.57299835073445</v>
      </c>
      <c r="CB25" s="242">
        <f t="shared" si="68"/>
        <v>912.69895127804489</v>
      </c>
      <c r="CC25" s="149">
        <f t="shared" si="70"/>
        <v>525.95273157797146</v>
      </c>
      <c r="CD25" s="17">
        <f t="shared" si="52"/>
        <v>1921.0570149361636</v>
      </c>
      <c r="CE25" s="269">
        <f t="shared" si="53"/>
        <v>141.00398445161568</v>
      </c>
      <c r="CF25" s="136">
        <f t="shared" si="24"/>
        <v>1780.0530304845479</v>
      </c>
      <c r="CG25" s="246">
        <f>IF($B$33=0,0, IF($B$33=1,Colony!AF25,IF($B$33=2,Colony!AG25,IF($B$33=3,Colony!AH25,IF($B$33=4,Colony!AI25,IF($B$33="X",Colony!AK25,"error"))))))</f>
        <v>0</v>
      </c>
      <c r="CH25" s="138">
        <f t="shared" si="54"/>
        <v>-329.87513469700832</v>
      </c>
      <c r="CI25" s="98">
        <f t="shared" si="62"/>
        <v>-329.87513469700832</v>
      </c>
      <c r="CJ25" s="268">
        <f t="shared" si="55"/>
        <v>1450.1778957875395</v>
      </c>
      <c r="CK25" s="136">
        <f t="shared" si="25"/>
        <v>1305.1601062087855</v>
      </c>
      <c r="CL25" s="95">
        <f t="shared" si="26"/>
        <v>145.01778957875399</v>
      </c>
      <c r="CM25" s="29">
        <f t="shared" si="56"/>
        <v>-0.14885707561063385</v>
      </c>
      <c r="CN25" s="274">
        <f t="shared" si="27"/>
        <v>40862</v>
      </c>
      <c r="CO25" s="89">
        <f t="shared" si="28"/>
        <v>754.6741240610736</v>
      </c>
      <c r="CP25" s="21">
        <f t="shared" si="29"/>
        <v>5.390529457579097E-2</v>
      </c>
      <c r="CQ25" s="146">
        <f t="shared" si="30"/>
        <v>16.980167791374157</v>
      </c>
      <c r="CR25" t="str">
        <f t="shared" si="67"/>
        <v/>
      </c>
      <c r="CS25" t="str">
        <f t="shared" si="63"/>
        <v/>
      </c>
      <c r="CT25">
        <f t="shared" si="64"/>
        <v>0</v>
      </c>
      <c r="CU25" s="17">
        <f t="shared" si="57"/>
        <v>6159.375</v>
      </c>
      <c r="CV25" s="18">
        <f t="shared" si="58"/>
        <v>-2000</v>
      </c>
      <c r="CW25" s="267">
        <f t="shared" si="59"/>
        <v>8159.375</v>
      </c>
      <c r="CX25" s="267">
        <f t="shared" si="65"/>
        <v>536.50684931506851</v>
      </c>
      <c r="CY25" s="104">
        <f t="shared" si="60"/>
        <v>0.75</v>
      </c>
      <c r="CZ25" s="266">
        <f t="shared" si="61"/>
        <v>329.87513469700832</v>
      </c>
      <c r="DB25" s="17">
        <f t="shared" si="66"/>
        <v>525.95273157797146</v>
      </c>
      <c r="DC25" s="165">
        <f>DX$57</f>
        <v>119.65850129308291</v>
      </c>
      <c r="DD25" s="37">
        <f>DW$59</f>
        <v>5.9057541846599462E-2</v>
      </c>
      <c r="DH25" s="2">
        <v>40862</v>
      </c>
      <c r="DI25" s="262">
        <v>43235</v>
      </c>
      <c r="DL25">
        <v>17.954999999999998</v>
      </c>
    </row>
    <row r="26" spans="1:130" ht="12.75" customHeight="1" x14ac:dyDescent="0.2">
      <c r="A26" s="450" t="s">
        <v>294</v>
      </c>
      <c r="B26" s="6" t="s">
        <v>211</v>
      </c>
      <c r="L26" s="451" t="s">
        <v>49</v>
      </c>
      <c r="M26" s="452"/>
      <c r="N26" s="453"/>
      <c r="P26" s="390"/>
      <c r="T26" s="125"/>
      <c r="U26" s="2">
        <f t="shared" si="0"/>
        <v>40878</v>
      </c>
      <c r="V26" s="59">
        <f t="shared" si="31"/>
        <v>145.01778957875399</v>
      </c>
      <c r="W26" s="310">
        <f t="shared" si="32"/>
        <v>1.6199777743510661E-2</v>
      </c>
      <c r="X26" s="235">
        <f t="shared" si="33"/>
        <v>0</v>
      </c>
      <c r="Y26" s="123">
        <f t="shared" si="34"/>
        <v>1.5770580643058134</v>
      </c>
      <c r="Z26" s="4">
        <f t="shared" si="1"/>
        <v>4.6946169006321647E-2</v>
      </c>
      <c r="AA26" s="3">
        <f t="shared" si="2"/>
        <v>0.55237731062062867</v>
      </c>
      <c r="AG26" s="37"/>
      <c r="AI26" s="437"/>
      <c r="AJ26" s="274">
        <f t="shared" si="35"/>
        <v>40878</v>
      </c>
      <c r="AK26" s="389">
        <f>IF($B$29="d",Colony!H53,IF($B$29="n",Colony!H81,IF($B$29="p",Colony!H109,IF($B$29="a",Colony!H137,IF($B$29="b",Colony!H165,IF($B$29="c",Colony!H193,IF($B$29="r",Colony!H221,IF($B$29="s",Colony!H249,IF($B$29="f",Colony!H277,"error")))))))))</f>
        <v>8</v>
      </c>
      <c r="AL26">
        <f t="shared" si="3"/>
        <v>16000</v>
      </c>
      <c r="AM26" s="81">
        <f>IF($B$29="d",Colony!F53,IF($B$29="n",Colony!F81,IF($B$29="p",Colony!F109,IF($B$29="a",Colony!F137,IF($B$29="b",Colony!F165,IF($B$29="c",Colony!F193,IF($B$29="r",Colony!F221,IF($B$29="s",Colony!F249,IF($B$29="f",Colony!F277,"error")))))))))</f>
        <v>0.5</v>
      </c>
      <c r="AN26" s="17">
        <f t="shared" si="4"/>
        <v>2250</v>
      </c>
      <c r="AO26" s="21">
        <f t="shared" si="5"/>
        <v>0.140625</v>
      </c>
      <c r="AP26">
        <f t="shared" si="36"/>
        <v>1350</v>
      </c>
      <c r="AQ26" s="18">
        <f t="shared" si="37"/>
        <v>63.377328158534226</v>
      </c>
      <c r="AR26" s="18">
        <f t="shared" si="6"/>
        <v>112.5</v>
      </c>
      <c r="AS26" s="142">
        <f t="shared" si="38"/>
        <v>14.808292530117262</v>
      </c>
      <c r="AT26" s="27">
        <f t="shared" si="7"/>
        <v>26.808292530117264</v>
      </c>
      <c r="AU26" s="32">
        <f t="shared" si="8"/>
        <v>0.55237731062062867</v>
      </c>
      <c r="AV26" s="131">
        <f t="shared" si="9"/>
        <v>0.44762268937937133</v>
      </c>
      <c r="AW26" s="28">
        <f t="shared" si="10"/>
        <v>64.913252979093627</v>
      </c>
      <c r="AX26" s="258">
        <f t="shared" si="11"/>
        <v>1350</v>
      </c>
      <c r="AY26" s="80">
        <f>IF($B$29="d",Colony!J53,IF($B$29="n",Colony!J81,IF($B$29="p",Colony!J109,IF($B$29="a",Colony!J137,IF($B$29="b",Colony!J165,IF($B$29="c",Colony!J193,IF($B$29="r",Colony!J221,IF($B$29="s",Colony!J221,IF($B$29="f",Colony!J277,"error")))))))))</f>
        <v>0</v>
      </c>
      <c r="AZ26" s="106">
        <f t="shared" si="39"/>
        <v>0</v>
      </c>
      <c r="BA26" s="75">
        <f t="shared" si="40"/>
        <v>0</v>
      </c>
      <c r="BB26" s="102">
        <f t="shared" si="41"/>
        <v>0</v>
      </c>
      <c r="BC26" s="72">
        <f t="shared" si="12"/>
        <v>0</v>
      </c>
      <c r="BD26" s="73">
        <f t="shared" si="42"/>
        <v>0</v>
      </c>
      <c r="BE26" s="369">
        <f t="shared" si="43"/>
        <v>0</v>
      </c>
      <c r="BF26" s="370">
        <f t="shared" si="44"/>
        <v>0</v>
      </c>
      <c r="BG26" s="73">
        <f t="shared" si="13"/>
        <v>29.808292530117264</v>
      </c>
      <c r="BH26" s="368">
        <v>1</v>
      </c>
      <c r="BI26" s="84">
        <f t="shared" si="14"/>
        <v>4.2749999999999995</v>
      </c>
      <c r="BJ26" s="78">
        <f t="shared" si="45"/>
        <v>9.8493837450082944E-2</v>
      </c>
      <c r="BK26" s="103">
        <f t="shared" si="46"/>
        <v>0.44762268937937133</v>
      </c>
      <c r="BL26" s="71">
        <f t="shared" si="47"/>
        <v>1350</v>
      </c>
      <c r="BM26" s="71">
        <f t="shared" si="15"/>
        <v>64.913252979093627</v>
      </c>
      <c r="BN26" s="74">
        <f t="shared" si="16"/>
        <v>4.8083891095624907E-2</v>
      </c>
      <c r="BO26" s="366">
        <f t="shared" si="48"/>
        <v>4.6946169006321647E-2</v>
      </c>
      <c r="BP26" s="368">
        <f t="shared" si="49"/>
        <v>1.0242127930898282</v>
      </c>
      <c r="BQ26" s="76">
        <f t="shared" si="17"/>
        <v>1</v>
      </c>
      <c r="BR26" s="74">
        <f t="shared" si="18"/>
        <v>26.808292530117264</v>
      </c>
      <c r="BS26" s="367">
        <v>1</v>
      </c>
      <c r="BT26" s="83">
        <f t="shared" si="50"/>
        <v>2.2586249999999999</v>
      </c>
      <c r="BU26" s="79">
        <f t="shared" si="19"/>
        <v>6.518049768398862E-2</v>
      </c>
      <c r="BV26" s="112">
        <f t="shared" si="20"/>
        <v>2.917626966839287E-2</v>
      </c>
      <c r="BW26" s="55">
        <f t="shared" si="21"/>
        <v>-5.0125418235442863E-3</v>
      </c>
      <c r="BX26" s="134">
        <f t="shared" si="22"/>
        <v>2.4163727844848583E-2</v>
      </c>
      <c r="BY26" s="134"/>
      <c r="BZ26" s="391">
        <f t="shared" si="69"/>
        <v>145.01778957875399</v>
      </c>
      <c r="CA26" s="242">
        <f t="shared" si="23"/>
        <v>101.51245270512779</v>
      </c>
      <c r="CB26" s="242">
        <f t="shared" si="68"/>
        <v>95.517376781543746</v>
      </c>
      <c r="CC26" s="149">
        <f t="shared" si="70"/>
        <v>53.346248654239631</v>
      </c>
      <c r="CD26" s="17">
        <f t="shared" si="52"/>
        <v>198.36403823299361</v>
      </c>
      <c r="CE26" s="269">
        <f t="shared" si="53"/>
        <v>14.559755147972112</v>
      </c>
      <c r="CF26" s="136">
        <f t="shared" si="24"/>
        <v>183.8042830850215</v>
      </c>
      <c r="CG26" s="246">
        <f>IF($B$33=0,0, IF($B$33=1,Colony!AF26,IF($B$33=2,Colony!AG26,IF($B$33=3,Colony!AH26,IF($B$33=4,Colony!AI26,IF($B$33="X",Colony!AK26,"error"))))))</f>
        <v>0</v>
      </c>
      <c r="CH26" s="138">
        <f t="shared" si="54"/>
        <v>1.7278407735790999</v>
      </c>
      <c r="CI26" s="98">
        <f t="shared" si="62"/>
        <v>1.7278407735790999</v>
      </c>
      <c r="CJ26" s="268">
        <f t="shared" si="55"/>
        <v>185.53212385860058</v>
      </c>
      <c r="CK26" s="136">
        <f t="shared" si="25"/>
        <v>0</v>
      </c>
      <c r="CL26" s="95">
        <f t="shared" si="26"/>
        <v>185.53212385860058</v>
      </c>
      <c r="CM26" s="29">
        <f t="shared" si="56"/>
        <v>1.6199777743510661E-2</v>
      </c>
      <c r="CN26" s="274">
        <f t="shared" si="27"/>
        <v>40878</v>
      </c>
      <c r="CO26" s="89">
        <f t="shared" si="28"/>
        <v>80.104536599660364</v>
      </c>
      <c r="CP26" s="21">
        <f t="shared" si="29"/>
        <v>5.0065335374787729E-3</v>
      </c>
      <c r="CQ26" s="146">
        <f t="shared" si="30"/>
        <v>1.5770580643058134</v>
      </c>
      <c r="CR26" t="str">
        <f t="shared" si="67"/>
        <v/>
      </c>
      <c r="CS26" t="str">
        <f t="shared" si="63"/>
        <v/>
      </c>
      <c r="CT26">
        <f t="shared" si="64"/>
        <v>0</v>
      </c>
      <c r="CU26" s="17">
        <f t="shared" si="57"/>
        <v>1539.84375</v>
      </c>
      <c r="CV26" s="18">
        <f t="shared" si="58"/>
        <v>2000</v>
      </c>
      <c r="CW26" s="267">
        <f t="shared" si="59"/>
        <v>-460.15625</v>
      </c>
      <c r="CX26" s="267">
        <f t="shared" si="65"/>
        <v>-30.256849315068493</v>
      </c>
      <c r="CY26" s="104">
        <f t="shared" si="60"/>
        <v>0.75</v>
      </c>
      <c r="CZ26" s="266">
        <f t="shared" si="61"/>
        <v>-1.7278407735790999</v>
      </c>
      <c r="DB26" s="17">
        <f t="shared" si="66"/>
        <v>53.346248654239631</v>
      </c>
      <c r="DC26" s="165">
        <f>DY$57</f>
        <v>22.150651639937898</v>
      </c>
      <c r="DD26" s="37">
        <f>DX$59</f>
        <v>6.1468858538224702E-2</v>
      </c>
      <c r="DH26" s="2">
        <v>40878</v>
      </c>
      <c r="DI26" s="262">
        <v>43252</v>
      </c>
    </row>
    <row r="27" spans="1:130" ht="12.75" customHeight="1" x14ac:dyDescent="0.2">
      <c r="A27" s="450"/>
      <c r="B27" t="s">
        <v>218</v>
      </c>
      <c r="P27" s="126"/>
      <c r="S27" s="244"/>
      <c r="T27" s="125"/>
      <c r="U27" s="2">
        <f t="shared" si="0"/>
        <v>40892</v>
      </c>
      <c r="V27" s="59">
        <f t="shared" si="31"/>
        <v>185.53212385860058</v>
      </c>
      <c r="W27" s="310">
        <f t="shared" si="32"/>
        <v>-1.0345093708777941E-2</v>
      </c>
      <c r="X27" s="235">
        <f t="shared" si="33"/>
        <v>0</v>
      </c>
      <c r="Y27" s="123">
        <f t="shared" si="34"/>
        <v>3.6526636884661987</v>
      </c>
      <c r="Z27" s="4" t="str">
        <f t="shared" si="1"/>
        <v>n/a</v>
      </c>
      <c r="AA27" s="3">
        <f t="shared" si="2"/>
        <v>1</v>
      </c>
      <c r="AG27" s="37"/>
      <c r="AI27" s="437"/>
      <c r="AJ27" s="274">
        <f t="shared" si="35"/>
        <v>40892</v>
      </c>
      <c r="AK27" s="389">
        <f>IF($B$29="d",Colony!H54,IF($B$29="n",Colony!H82,IF($B$29="p",Colony!H110,IF($B$29="a",Colony!H138,IF($B$29="b",Colony!H166,IF($B$29="c",Colony!H194,IF($B$29="r",Colony!H222,IF($B$29="s",Colony!H250,IF($B$29="f",Colony!H278,"error")))))))))</f>
        <v>8</v>
      </c>
      <c r="AL27">
        <f t="shared" si="3"/>
        <v>16000</v>
      </c>
      <c r="AM27" s="81">
        <f>IF($B$29="d",Colony!F54,IF($B$29="n",Colony!F82,IF($B$29="p",Colony!F110,IF($B$29="a",Colony!F138,IF($B$29="b",Colony!F166,IF($B$29="c",Colony!F194,IF($B$29="r",Colony!F222,IF($B$29="s",Colony!F250,IF($B$29="f",Colony!F278,"error")))))))))</f>
        <v>0</v>
      </c>
      <c r="AN27" s="17">
        <f t="shared" si="4"/>
        <v>1</v>
      </c>
      <c r="AO27" s="21">
        <f t="shared" si="5"/>
        <v>6.2500000000000001E-5</v>
      </c>
      <c r="AP27">
        <f t="shared" si="36"/>
        <v>0.6</v>
      </c>
      <c r="AQ27" s="18">
        <f t="shared" si="37"/>
        <v>0</v>
      </c>
      <c r="AR27" s="18">
        <f t="shared" si="6"/>
        <v>0.05</v>
      </c>
      <c r="AS27" s="142">
        <f t="shared" si="38"/>
        <v>53.401720006109592</v>
      </c>
      <c r="AT27" s="27">
        <f t="shared" si="7"/>
        <v>65.401720006109599</v>
      </c>
      <c r="AU27" s="32">
        <f t="shared" si="8"/>
        <v>1</v>
      </c>
      <c r="AV27" s="131">
        <f t="shared" si="9"/>
        <v>0</v>
      </c>
      <c r="AW27" s="28">
        <f t="shared" si="10"/>
        <v>0</v>
      </c>
      <c r="AX27" s="258">
        <f t="shared" si="11"/>
        <v>0.6</v>
      </c>
      <c r="AY27" s="80">
        <f>IF($B$29="d",Colony!J54,IF($B$29="n",Colony!J82,IF($B$29="p",Colony!J110,IF($B$29="a",Colony!J138,IF($B$29="b",Colony!J166,IF($B$29="c",Colony!J194,IF($B$29="r",Colony!J222,IF($B$29="s",Colony!J222,IF($B$29="f",Colony!J278,"error")))))))))</f>
        <v>0</v>
      </c>
      <c r="AZ27" s="106">
        <f t="shared" si="39"/>
        <v>0</v>
      </c>
      <c r="BA27" s="75">
        <f t="shared" si="40"/>
        <v>0</v>
      </c>
      <c r="BB27" s="102">
        <f t="shared" si="41"/>
        <v>0</v>
      </c>
      <c r="BC27" s="72">
        <f t="shared" si="12"/>
        <v>0</v>
      </c>
      <c r="BD27" s="73">
        <f t="shared" si="42"/>
        <v>0</v>
      </c>
      <c r="BE27" s="369">
        <f t="shared" si="43"/>
        <v>0</v>
      </c>
      <c r="BF27" s="370">
        <f t="shared" si="44"/>
        <v>0</v>
      </c>
      <c r="BG27" s="73">
        <f t="shared" si="13"/>
        <v>68.401720006109599</v>
      </c>
      <c r="BH27" s="368">
        <v>1</v>
      </c>
      <c r="BI27" s="84">
        <f t="shared" si="14"/>
        <v>4.2749999999999995</v>
      </c>
      <c r="BJ27" s="78">
        <f t="shared" si="45"/>
        <v>9.8493837450082944E-2</v>
      </c>
      <c r="BK27" s="103">
        <f t="shared" si="46"/>
        <v>0</v>
      </c>
      <c r="BL27" s="71">
        <f t="shared" si="47"/>
        <v>0.6</v>
      </c>
      <c r="BM27" s="71">
        <f t="shared" si="15"/>
        <v>0</v>
      </c>
      <c r="BN27" s="74">
        <f t="shared" si="16"/>
        <v>0</v>
      </c>
      <c r="BO27" s="366">
        <f t="shared" si="48"/>
        <v>0</v>
      </c>
      <c r="BP27" s="368">
        <f t="shared" si="49"/>
        <v>0</v>
      </c>
      <c r="BQ27" s="76">
        <f t="shared" si="17"/>
        <v>1</v>
      </c>
      <c r="BR27" s="74">
        <f t="shared" si="18"/>
        <v>65.401720006109599</v>
      </c>
      <c r="BS27" s="367">
        <v>1</v>
      </c>
      <c r="BT27" s="83">
        <f t="shared" si="50"/>
        <v>2.2586249999999999</v>
      </c>
      <c r="BU27" s="79">
        <f t="shared" si="19"/>
        <v>0</v>
      </c>
      <c r="BV27" s="112">
        <f t="shared" si="20"/>
        <v>0</v>
      </c>
      <c r="BW27" s="55">
        <f t="shared" si="21"/>
        <v>-5.0125418235442863E-3</v>
      </c>
      <c r="BX27" s="134">
        <f t="shared" si="22"/>
        <v>-5.0125418235442863E-3</v>
      </c>
      <c r="BY27" s="134"/>
      <c r="BZ27" s="391">
        <f t="shared" si="69"/>
        <v>185.53212385860058</v>
      </c>
      <c r="CA27" s="242">
        <f t="shared" si="23"/>
        <v>129.87248670102039</v>
      </c>
      <c r="CB27" s="242">
        <f t="shared" si="68"/>
        <v>121.8893731879879</v>
      </c>
      <c r="CC27" s="149">
        <f>CB27*EXP(BV27*$AK$36)-CB27</f>
        <v>0</v>
      </c>
      <c r="CD27" s="17">
        <f t="shared" si="52"/>
        <v>185.53212385860058</v>
      </c>
      <c r="CE27" s="269">
        <f t="shared" si="53"/>
        <v>13.617903323240341</v>
      </c>
      <c r="CF27" s="136">
        <f t="shared" si="24"/>
        <v>171.91422053536024</v>
      </c>
      <c r="CG27" s="246">
        <f>IF($B$33=0,0, IF($B$33=1,Colony!AF27,IF($B$33=2,Colony!AG27,IF($B$33=3,Colony!AH27,IF($B$33=4,Colony!AI27,IF($B$33="X",Colony!AK27,"error"))))))</f>
        <v>0</v>
      </c>
      <c r="CH27" s="138">
        <f t="shared" si="54"/>
        <v>-13.391741313182436</v>
      </c>
      <c r="CI27" s="98">
        <f t="shared" si="62"/>
        <v>-13.391741313182436</v>
      </c>
      <c r="CJ27" s="268">
        <f t="shared" si="55"/>
        <v>158.52247922217782</v>
      </c>
      <c r="CK27" s="136">
        <f t="shared" si="25"/>
        <v>0</v>
      </c>
      <c r="CL27" s="95">
        <f t="shared" si="26"/>
        <v>158.52247922217782</v>
      </c>
      <c r="CM27" s="29">
        <f t="shared" si="56"/>
        <v>-1.0345093708777941E-2</v>
      </c>
      <c r="CN27" s="274">
        <f t="shared" si="27"/>
        <v>40892</v>
      </c>
      <c r="CO27" s="89">
        <f t="shared" si="28"/>
        <v>185.53212385860058</v>
      </c>
      <c r="CP27" s="21">
        <f t="shared" si="29"/>
        <v>1.1595757741162536E-2</v>
      </c>
      <c r="CQ27" s="146">
        <f t="shared" si="30"/>
        <v>3.6526636884661987</v>
      </c>
      <c r="CR27" t="str">
        <f t="shared" si="67"/>
        <v/>
      </c>
      <c r="CS27" t="str">
        <f t="shared" si="63"/>
        <v/>
      </c>
      <c r="CT27">
        <f t="shared" si="64"/>
        <v>0</v>
      </c>
      <c r="CU27" s="17">
        <f t="shared" si="57"/>
        <v>1539.84375</v>
      </c>
      <c r="CV27" s="18">
        <f t="shared" si="58"/>
        <v>0</v>
      </c>
      <c r="CW27" s="267">
        <f t="shared" si="59"/>
        <v>1539.84375</v>
      </c>
      <c r="CX27" s="267">
        <f t="shared" si="65"/>
        <v>101.25</v>
      </c>
      <c r="CY27" s="104">
        <f t="shared" si="60"/>
        <v>0.75</v>
      </c>
      <c r="CZ27" s="266">
        <f t="shared" si="61"/>
        <v>13.391741313182436</v>
      </c>
      <c r="DB27" s="17">
        <f t="shared" si="66"/>
        <v>0</v>
      </c>
      <c r="DC27" s="165">
        <f>DZ$57</f>
        <v>40.702994016738117</v>
      </c>
      <c r="DD27" s="37">
        <f>DY$59</f>
        <v>9.5803728174122041E-2</v>
      </c>
      <c r="DH27" s="2">
        <v>40892</v>
      </c>
      <c r="DI27" s="262">
        <v>43266</v>
      </c>
      <c r="DL27">
        <v>11.025</v>
      </c>
    </row>
    <row r="28" spans="1:130" ht="12.75" customHeight="1" x14ac:dyDescent="0.2">
      <c r="A28" s="450"/>
      <c r="B28" s="245" t="s">
        <v>205</v>
      </c>
      <c r="D28" s="160"/>
      <c r="E28" s="160"/>
      <c r="F28" s="160"/>
      <c r="G28" s="160"/>
      <c r="H28" s="160"/>
      <c r="I28" s="160"/>
      <c r="J28" s="160"/>
      <c r="K28" s="160"/>
      <c r="L28" s="160"/>
      <c r="M28" s="160"/>
      <c r="N28" s="160"/>
      <c r="O28" s="160"/>
      <c r="P28" s="160"/>
      <c r="Q28" s="160"/>
      <c r="R28" s="160"/>
      <c r="S28" s="160"/>
      <c r="T28" s="313" t="s">
        <v>299</v>
      </c>
      <c r="U28" s="2">
        <f t="shared" si="0"/>
        <v>40908</v>
      </c>
      <c r="V28" s="59">
        <f>IF(CT27&gt;0,"",BZ28)</f>
        <v>158.52247922217782</v>
      </c>
      <c r="W28" s="310">
        <f>IF(CT28&gt;0,"",CM28)</f>
        <v>-5.0148183286369526E-3</v>
      </c>
      <c r="X28" s="235">
        <f>IF(CT28&gt;0,"",CG28)</f>
        <v>0</v>
      </c>
      <c r="Y28" s="123">
        <f>IF(CT28&gt;0,"",CQ28)</f>
        <v>3.1209113096866261</v>
      </c>
      <c r="Z28" s="4" t="str">
        <f t="shared" si="1"/>
        <v>n/a</v>
      </c>
      <c r="AA28" s="3">
        <f t="shared" si="2"/>
        <v>1</v>
      </c>
      <c r="AD28" s="64"/>
      <c r="AE28" s="64"/>
      <c r="AF28" s="91"/>
      <c r="AG28" s="91"/>
      <c r="AJ28" s="274">
        <f t="shared" si="35"/>
        <v>40908</v>
      </c>
      <c r="AK28" s="389">
        <f>IF($B$29="d",Colony!H55,IF($B$29="n",Colony!H83,IF($B$29="p",Colony!H111,IF($B$29="a",Colony!H139,IF($B$29="b",Colony!H167,IF($B$29="c",Colony!H195,IF($B$29="r",Colony!H223,IF($B$29="s",Colony!H251,IF($B$29="f",Colony!H279,"error")))))))))</f>
        <v>8</v>
      </c>
      <c r="AL28">
        <f>AK28*$AK$44</f>
        <v>16000</v>
      </c>
      <c r="AM28" s="81">
        <f>IF($B$29="d",Colony!F55,IF($B$29="n",Colony!F83,IF($B$29="p",Colony!F111,IF($B$29="a",Colony!F139,IF($B$29="b",Colony!F167,IF($B$29="c",Colony!F195,IF($B$29="r",Colony!F223,IF($B$29="s",Colony!F251,IF($B$29="f",Colony!F279,"error")))))))))</f>
        <v>0</v>
      </c>
      <c r="AN28" s="17">
        <f>IF(AM28=0,1,$AK$43*AM28)</f>
        <v>1</v>
      </c>
      <c r="AO28" s="21">
        <f>IF(AL28=0,0,AN28/AL28)</f>
        <v>6.2500000000000001E-5</v>
      </c>
      <c r="AP28">
        <f>AN28*12/20</f>
        <v>0.6</v>
      </c>
      <c r="AQ28" s="18">
        <f>BO28*AP28</f>
        <v>0</v>
      </c>
      <c r="AR28" s="18">
        <f>AN28/20</f>
        <v>0.05</v>
      </c>
      <c r="AS28" s="142">
        <f>IF(AO28=0,0.001,(-$AK$42*LN(AO28))+$AK$41)</f>
        <v>53.401720006109592</v>
      </c>
      <c r="AT28" s="27">
        <f>AS28+12</f>
        <v>65.401720006109599</v>
      </c>
      <c r="AU28" s="32">
        <f>IF(AM28=0,1,AS28/AT28)</f>
        <v>1</v>
      </c>
      <c r="AV28" s="131">
        <f>1-AU28</f>
        <v>0</v>
      </c>
      <c r="AW28" s="28">
        <f t="shared" si="10"/>
        <v>0</v>
      </c>
      <c r="AX28" s="258">
        <f>0.6*AN28</f>
        <v>0.6</v>
      </c>
      <c r="AY28" s="80">
        <f>IF($B$29="d",Colony!J55,IF($B$29="n",Colony!J83,IF($B$29="p",Colony!J111,IF($B$29="a",Colony!I139,IF($B$29="b",Colony!J167,IF($B$29="c",Colony!J195,IF($B$29="r",Colony!J223,IF($B$29="s",Colony!J223,IF($B$29="f",Colony!J279,"error")))))))))</f>
        <v>0</v>
      </c>
      <c r="AZ28" s="106">
        <f t="shared" si="39"/>
        <v>0</v>
      </c>
      <c r="BA28" s="75">
        <f t="shared" si="40"/>
        <v>0</v>
      </c>
      <c r="BB28" s="102">
        <f>BA28*AV28</f>
        <v>0</v>
      </c>
      <c r="BC28" s="72">
        <f>BA28*AW28</f>
        <v>0</v>
      </c>
      <c r="BD28" s="73">
        <f>IF(AZ28=0,0,BC28/(AX28*AZ28))</f>
        <v>0</v>
      </c>
      <c r="BE28" s="369">
        <f t="shared" si="43"/>
        <v>0</v>
      </c>
      <c r="BF28" s="370">
        <f>IF(BE28=0,0,BD28/BE28)</f>
        <v>0</v>
      </c>
      <c r="BG28" s="73">
        <f>AS28+15</f>
        <v>68.401720006109599</v>
      </c>
      <c r="BH28" s="368">
        <v>1</v>
      </c>
      <c r="BI28" s="84">
        <f>(1+($AK$31*BH28))*$AK$46</f>
        <v>4.2749999999999995</v>
      </c>
      <c r="BJ28" s="78">
        <f>LN(BI28)/14.75</f>
        <v>9.8493837450082944E-2</v>
      </c>
      <c r="BK28" s="103">
        <f>1-AU28-BB28</f>
        <v>0</v>
      </c>
      <c r="BL28" s="71">
        <f>(1-AZ28)*AX28</f>
        <v>0.6</v>
      </c>
      <c r="BM28" s="71">
        <f>AW28-BC28</f>
        <v>0</v>
      </c>
      <c r="BN28" s="74">
        <f>BM28/BL28</f>
        <v>0</v>
      </c>
      <c r="BO28" s="366">
        <f t="shared" si="48"/>
        <v>0</v>
      </c>
      <c r="BP28" s="368">
        <f t="shared" si="49"/>
        <v>0</v>
      </c>
      <c r="BQ28" s="76">
        <f t="shared" si="17"/>
        <v>1</v>
      </c>
      <c r="BR28" s="74">
        <f t="shared" si="18"/>
        <v>65.401720006109599</v>
      </c>
      <c r="BS28" s="367">
        <v>1</v>
      </c>
      <c r="BT28" s="83">
        <f t="shared" si="50"/>
        <v>2.2586249999999999</v>
      </c>
      <c r="BU28" s="79">
        <f t="shared" si="19"/>
        <v>0</v>
      </c>
      <c r="BV28" s="112">
        <f t="shared" si="20"/>
        <v>0</v>
      </c>
      <c r="BW28" s="55">
        <f t="shared" si="21"/>
        <v>-5.0125418235442863E-3</v>
      </c>
      <c r="BX28" s="134">
        <f>BV28+BW28</f>
        <v>-5.0125418235442863E-3</v>
      </c>
      <c r="BY28" s="134"/>
      <c r="BZ28" s="391">
        <f t="shared" si="69"/>
        <v>158.52247922217782</v>
      </c>
      <c r="CA28" s="242">
        <f>BZ28*$AK$30</f>
        <v>110.96573545552447</v>
      </c>
      <c r="CB28" s="242">
        <f>CA28*(1-DD27)</f>
        <v>100.33480429930187</v>
      </c>
      <c r="CC28" s="149">
        <f>CB28*EXP(BV28*$AK$36)-CB28</f>
        <v>0</v>
      </c>
      <c r="CD28" s="17">
        <f>BZ28+CC28</f>
        <v>158.52247922217782</v>
      </c>
      <c r="CE28" s="269">
        <f>CD28-CF28</f>
        <v>11.635417908831982</v>
      </c>
      <c r="CF28" s="136">
        <f t="shared" si="24"/>
        <v>146.88706131334584</v>
      </c>
      <c r="CG28" s="246">
        <f>IF($B$33=0,0, IF($B$33=1,Colony!AF28,IF($B$33=2,Colony!AG28,IF($B$33=3,Colony!AH28,IF($B$33=4,Colony!AI28,IF($B$33="X",Colony!AK28,"error"))))))</f>
        <v>0</v>
      </c>
      <c r="CH28" s="138">
        <f>IF(CZ28&gt;CO28*CY28,-CO28*CY28,-CZ28)</f>
        <v>-5.085413518016153E-3</v>
      </c>
      <c r="CI28" s="98">
        <f>CG28+CH28</f>
        <v>-5.085413518016153E-3</v>
      </c>
      <c r="CJ28" s="268">
        <f>CF28+CI28</f>
        <v>146.88197589982784</v>
      </c>
      <c r="CK28" s="136">
        <v>0</v>
      </c>
      <c r="CL28" s="95">
        <f>CJ28-CK28</f>
        <v>146.88197589982784</v>
      </c>
      <c r="CM28" s="29">
        <f>LN(CL28/BZ28)/$AK$36</f>
        <v>-5.0148183286369526E-3</v>
      </c>
      <c r="CN28" s="274">
        <f t="shared" si="27"/>
        <v>40908</v>
      </c>
      <c r="CO28" s="89">
        <f t="shared" si="28"/>
        <v>158.52247922217782</v>
      </c>
      <c r="CP28" s="21">
        <f t="shared" si="29"/>
        <v>9.9076549513861141E-3</v>
      </c>
      <c r="CQ28" s="146">
        <f>CP28*315</f>
        <v>3.1209113096866261</v>
      </c>
      <c r="CR28" t="str">
        <f t="shared" si="67"/>
        <v/>
      </c>
      <c r="CS28" t="str">
        <f t="shared" si="63"/>
        <v/>
      </c>
      <c r="CT28">
        <f>SUM(CR28:CS28)</f>
        <v>0</v>
      </c>
      <c r="CU28" s="17">
        <f t="shared" si="57"/>
        <v>0.68437499999999996</v>
      </c>
      <c r="CV28" s="18">
        <f t="shared" si="58"/>
        <v>0</v>
      </c>
      <c r="CW28" s="267">
        <f>CU28-CV28</f>
        <v>0.68437499999999996</v>
      </c>
      <c r="CX28" s="267">
        <f t="shared" si="65"/>
        <v>4.4999999999999998E-2</v>
      </c>
      <c r="CY28" s="104">
        <f>IF(CP28&gt;0.15,1,$AK$35)</f>
        <v>0.75</v>
      </c>
      <c r="CZ28" s="266">
        <f>CW28*CY28*CP28</f>
        <v>5.085413518016153E-3</v>
      </c>
      <c r="DB28" s="17">
        <f t="shared" si="66"/>
        <v>0</v>
      </c>
      <c r="DC28" s="165">
        <f>DZ$57</f>
        <v>40.702994016738117</v>
      </c>
      <c r="DD28" s="37">
        <f>DY$59</f>
        <v>9.5803728174122041E-2</v>
      </c>
      <c r="DF28" s="18"/>
      <c r="DG28" s="18"/>
      <c r="DH28" s="2">
        <v>40908</v>
      </c>
      <c r="DI28" s="262">
        <v>43281</v>
      </c>
    </row>
    <row r="29" spans="1:130" ht="12.95" customHeight="1" x14ac:dyDescent="0.2">
      <c r="A29" s="450"/>
      <c r="B29" s="297" t="s">
        <v>88</v>
      </c>
      <c r="C29" s="454" t="s">
        <v>204</v>
      </c>
      <c r="D29" s="454"/>
      <c r="E29" s="454"/>
      <c r="F29" s="454"/>
      <c r="G29" s="454"/>
      <c r="H29" s="454"/>
      <c r="I29" s="454"/>
      <c r="J29" s="454"/>
      <c r="K29" s="454"/>
      <c r="L29" s="454"/>
      <c r="M29" s="454"/>
      <c r="N29" s="454"/>
      <c r="O29" s="454"/>
      <c r="P29" s="454"/>
      <c r="Q29" s="454"/>
      <c r="R29" s="454"/>
      <c r="S29" s="454"/>
      <c r="T29" s="361"/>
      <c r="U29" s="325" t="s">
        <v>323</v>
      </c>
      <c r="V29" s="327">
        <f>MAX(V4:V28)</f>
        <v>1395.1042833581921</v>
      </c>
      <c r="W29" s="326" t="s">
        <v>321</v>
      </c>
      <c r="X29" s="323">
        <f>SUM(X4:X28)</f>
        <v>1000</v>
      </c>
      <c r="Y29" s="314"/>
      <c r="Z29" s="314"/>
      <c r="AA29" s="314"/>
      <c r="AB29" s="314"/>
      <c r="AC29" s="314"/>
      <c r="AD29" s="314"/>
      <c r="AE29" s="243"/>
      <c r="AF29" s="243"/>
      <c r="AG29" s="243"/>
      <c r="AH29" s="243"/>
      <c r="AI29" s="458" t="s">
        <v>18</v>
      </c>
      <c r="AJ29" s="330">
        <f>B40</f>
        <v>1.45</v>
      </c>
      <c r="AK29" s="171">
        <f>IF($B$38="custom",C40*(1-$AK$39),IF($B$38="",AJ29*(1-B49),"error"))</f>
        <v>1.3774999999999999</v>
      </c>
      <c r="AL29" s="379" t="s">
        <v>132</v>
      </c>
      <c r="AR29" s="5"/>
      <c r="AS29" s="27"/>
      <c r="AT29" s="258">
        <f>AS29+12</f>
        <v>12</v>
      </c>
      <c r="BA29"/>
      <c r="BG29" s="73">
        <f>AS29+15</f>
        <v>15</v>
      </c>
      <c r="BN29" s="258" t="s">
        <v>143</v>
      </c>
      <c r="BO29" s="37">
        <f>MAX(BO4:BO28)</f>
        <v>0.37773716462728191</v>
      </c>
      <c r="BP29" s="104"/>
      <c r="BT29" s="258"/>
      <c r="CG29" s="247">
        <f>SUM(CG4:CG27)</f>
        <v>1000</v>
      </c>
      <c r="CH29" s="35">
        <f>SUM(CH5:CH28)</f>
        <v>-1497.2947994054548</v>
      </c>
      <c r="CI29" s="98">
        <f>CG29+CH29</f>
        <v>-497.2947994054548</v>
      </c>
      <c r="DD29">
        <v>4</v>
      </c>
      <c r="DE29">
        <v>5</v>
      </c>
      <c r="DF29">
        <v>6</v>
      </c>
      <c r="DG29">
        <v>7</v>
      </c>
      <c r="DH29">
        <v>8</v>
      </c>
      <c r="DI29">
        <v>9</v>
      </c>
      <c r="DJ29">
        <v>10</v>
      </c>
      <c r="DK29">
        <v>11</v>
      </c>
      <c r="DL29">
        <v>12</v>
      </c>
      <c r="DM29">
        <v>13</v>
      </c>
      <c r="DN29">
        <v>14</v>
      </c>
      <c r="DO29">
        <v>15</v>
      </c>
      <c r="DP29">
        <v>16</v>
      </c>
      <c r="DQ29">
        <v>17</v>
      </c>
      <c r="DR29">
        <v>18</v>
      </c>
      <c r="DS29">
        <v>19</v>
      </c>
      <c r="DT29">
        <v>20</v>
      </c>
      <c r="DU29">
        <v>21</v>
      </c>
      <c r="DV29">
        <v>22</v>
      </c>
      <c r="DW29">
        <v>23</v>
      </c>
      <c r="DX29">
        <v>24</v>
      </c>
      <c r="DY29">
        <v>25</v>
      </c>
      <c r="DZ29">
        <v>26</v>
      </c>
    </row>
    <row r="30" spans="1:130" ht="12.95" customHeight="1" x14ac:dyDescent="0.2">
      <c r="A30" s="450"/>
      <c r="C30" s="454"/>
      <c r="D30" s="454"/>
      <c r="E30" s="454"/>
      <c r="F30" s="454"/>
      <c r="G30" s="454"/>
      <c r="H30" s="454"/>
      <c r="I30" s="454"/>
      <c r="J30" s="454"/>
      <c r="K30" s="454"/>
      <c r="L30" s="454"/>
      <c r="M30" s="454"/>
      <c r="N30" s="454"/>
      <c r="O30" s="454"/>
      <c r="P30" s="454"/>
      <c r="Q30" s="454"/>
      <c r="R30" s="454"/>
      <c r="S30" s="454"/>
      <c r="T30" s="324"/>
      <c r="U30" s="324"/>
      <c r="V30" s="64"/>
      <c r="W30" s="307"/>
      <c r="X30" s="64"/>
      <c r="Y30" s="64"/>
      <c r="Z30" s="64"/>
      <c r="AA30" s="64"/>
      <c r="AB30" s="64"/>
      <c r="AC30" s="64"/>
      <c r="AD30" s="64"/>
      <c r="AG30" s="11"/>
      <c r="AI30" s="458"/>
      <c r="AJ30" s="330">
        <f t="shared" ref="AJ30:AJ35" si="71">B41</f>
        <v>0.7</v>
      </c>
      <c r="AK30" s="61">
        <f t="shared" ref="AK30:AK35" si="72">IF($B$38="custom",C41,IF($B$38="",AJ30,"error"))</f>
        <v>0.7</v>
      </c>
      <c r="AL30" s="379" t="s">
        <v>239</v>
      </c>
      <c r="AS30" s="5"/>
      <c r="AT30" s="92">
        <f>(1+(AK29*AK30))</f>
        <v>1.9642499999999998</v>
      </c>
      <c r="AU30" s="387" t="s">
        <v>131</v>
      </c>
      <c r="AV30"/>
      <c r="AW30"/>
      <c r="BT30" s="387"/>
      <c r="DB30" t="s">
        <v>189</v>
      </c>
      <c r="DC30" s="17">
        <f>AN4</f>
        <v>2250</v>
      </c>
      <c r="DD30" s="17">
        <f>AN5</f>
        <v>13500</v>
      </c>
      <c r="DE30" s="17">
        <f>AN6</f>
        <v>24750</v>
      </c>
      <c r="DF30" s="17">
        <f>AN7</f>
        <v>31500</v>
      </c>
      <c r="DG30" s="17">
        <f>AN8</f>
        <v>36000</v>
      </c>
      <c r="DH30" s="17">
        <f>AN9</f>
        <v>45000</v>
      </c>
      <c r="DI30" s="17">
        <f>AN10</f>
        <v>13500</v>
      </c>
      <c r="DJ30" s="17">
        <f>AN11</f>
        <v>13500</v>
      </c>
      <c r="DK30" s="17">
        <f>AN12</f>
        <v>18000</v>
      </c>
      <c r="DL30" s="17">
        <f>AN13</f>
        <v>22500</v>
      </c>
      <c r="DM30" s="17">
        <f>AN14</f>
        <v>31500</v>
      </c>
      <c r="DN30" s="17">
        <f>AN15</f>
        <v>31500</v>
      </c>
      <c r="DO30" s="17">
        <f>AN16</f>
        <v>27000</v>
      </c>
      <c r="DP30" s="17">
        <f>AN17</f>
        <v>22500</v>
      </c>
      <c r="DQ30" s="17">
        <f>AN18</f>
        <v>15750</v>
      </c>
      <c r="DR30" s="17">
        <f>AN19</f>
        <v>15750</v>
      </c>
      <c r="DS30" s="17">
        <f>AN20</f>
        <v>9000</v>
      </c>
      <c r="DT30" s="17">
        <f>AN21</f>
        <v>13500</v>
      </c>
      <c r="DU30" s="17">
        <f>AN22</f>
        <v>13500</v>
      </c>
      <c r="DV30" s="17">
        <f>AN23</f>
        <v>11250</v>
      </c>
      <c r="DW30" s="17">
        <f>AN24</f>
        <v>9000</v>
      </c>
      <c r="DX30" s="17">
        <f>AN25</f>
        <v>2250</v>
      </c>
      <c r="DY30" s="17">
        <f>AN26</f>
        <v>2250</v>
      </c>
      <c r="DZ30" s="17">
        <f>AN27</f>
        <v>1</v>
      </c>
    </row>
    <row r="31" spans="1:130" x14ac:dyDescent="0.2">
      <c r="A31" s="450"/>
      <c r="B31" s="281">
        <v>100</v>
      </c>
      <c r="C31" s="6" t="s">
        <v>119</v>
      </c>
      <c r="G31" s="7" t="str">
        <f>IF(B29="p","a typ 3-lb package contains 100-500 mites.  Adjust this yellow cell until the mite wash count to the right matches that at installation","tweak your starting mite count  until your early season alcohol wash count matches that of the simulation on the same date (try 100 to start)&gt;&gt;&gt;")</f>
        <v>tweak your starting mite count  until your early season alcohol wash count matches that of the simulation on the same date (try 100 to start)&gt;&gt;&gt;</v>
      </c>
      <c r="Z31" s="459" t="s">
        <v>326</v>
      </c>
      <c r="AA31" s="459"/>
      <c r="AB31" s="460"/>
      <c r="AC31" s="460"/>
      <c r="AD31" s="460"/>
      <c r="AE31" s="460"/>
      <c r="AF31" s="460"/>
      <c r="AG31" s="460"/>
      <c r="AH31" s="460"/>
      <c r="AI31" s="458" t="s">
        <v>19</v>
      </c>
      <c r="AJ31" s="330">
        <f t="shared" si="71"/>
        <v>3.5</v>
      </c>
      <c r="AK31" s="171">
        <f t="shared" si="72"/>
        <v>3.5</v>
      </c>
      <c r="AL31" s="379" t="s">
        <v>118</v>
      </c>
      <c r="AT31">
        <f>LN(AT30)</f>
        <v>0.67511049307379378</v>
      </c>
      <c r="AU31" s="387" t="s">
        <v>130</v>
      </c>
      <c r="AV31"/>
      <c r="AW31"/>
      <c r="AX31"/>
      <c r="AY31" s="37"/>
      <c r="AZ31" s="37"/>
      <c r="BC31" s="387"/>
      <c r="BI31" s="37"/>
      <c r="BS31" s="10"/>
      <c r="BT31" s="13"/>
      <c r="CC31" s="17"/>
      <c r="CP31" s="68"/>
      <c r="DB31" s="169" t="s">
        <v>187</v>
      </c>
      <c r="DC31" s="2">
        <v>40544</v>
      </c>
      <c r="DD31" s="2">
        <v>40558</v>
      </c>
      <c r="DE31" s="2">
        <v>40575</v>
      </c>
      <c r="DF31" s="2">
        <v>40589</v>
      </c>
      <c r="DG31" s="2">
        <v>40603</v>
      </c>
      <c r="DH31" s="2">
        <v>40617</v>
      </c>
      <c r="DI31" s="2">
        <v>40634</v>
      </c>
      <c r="DJ31" s="2">
        <v>40648</v>
      </c>
      <c r="DK31" s="2">
        <v>40664</v>
      </c>
      <c r="DL31" s="2">
        <v>40678</v>
      </c>
      <c r="DM31" s="2">
        <v>40695</v>
      </c>
      <c r="DN31" s="2">
        <v>40709</v>
      </c>
      <c r="DO31" s="2">
        <v>40725</v>
      </c>
      <c r="DP31" s="2">
        <v>40739</v>
      </c>
      <c r="DQ31" s="2">
        <v>40756</v>
      </c>
      <c r="DR31" s="2">
        <v>40770</v>
      </c>
      <c r="DS31" s="2">
        <v>40787</v>
      </c>
      <c r="DT31" s="2">
        <v>40801</v>
      </c>
      <c r="DU31" s="2">
        <v>40817</v>
      </c>
      <c r="DV31" s="2">
        <v>40831</v>
      </c>
      <c r="DW31" s="2">
        <v>40848</v>
      </c>
      <c r="DX31" s="2">
        <v>40862</v>
      </c>
      <c r="DY31" s="2">
        <v>40878</v>
      </c>
      <c r="DZ31" s="2">
        <v>40892</v>
      </c>
    </row>
    <row r="32" spans="1:130" x14ac:dyDescent="0.2">
      <c r="A32" s="450"/>
      <c r="C32" t="s">
        <v>360</v>
      </c>
      <c r="N32" s="455" t="s">
        <v>361</v>
      </c>
      <c r="O32" s="456"/>
      <c r="P32" t="s">
        <v>362</v>
      </c>
      <c r="AA32" s="162"/>
      <c r="AI32" s="458"/>
      <c r="AJ32" s="330">
        <f t="shared" si="71"/>
        <v>0.7</v>
      </c>
      <c r="AK32" s="61">
        <f t="shared" si="72"/>
        <v>0.7</v>
      </c>
      <c r="AL32" s="379" t="s">
        <v>240</v>
      </c>
      <c r="AQ32">
        <f>LN(1885/1160)/23</f>
        <v>2.1109035468769601E-2</v>
      </c>
      <c r="AT32" s="92">
        <f>(LN(1+(AK29*AK30)))/12</f>
        <v>5.6259207756149482E-2</v>
      </c>
      <c r="AU32" t="s">
        <v>126</v>
      </c>
      <c r="AV32"/>
      <c r="AW32"/>
      <c r="AX32"/>
      <c r="AY32" s="37"/>
      <c r="AZ32" s="37"/>
      <c r="BA32"/>
      <c r="BE32" s="10"/>
      <c r="BS32" s="258"/>
      <c r="BT32" s="387"/>
      <c r="CP32" s="68"/>
      <c r="DB32" s="258" t="s">
        <v>183</v>
      </c>
      <c r="DC32" s="206">
        <f>$T4</f>
        <v>0</v>
      </c>
      <c r="DD32" s="206">
        <f>$T5</f>
        <v>0</v>
      </c>
      <c r="DE32" s="206">
        <f>$T6</f>
        <v>0</v>
      </c>
      <c r="DF32" s="206">
        <f>$T7</f>
        <v>0</v>
      </c>
      <c r="DG32" s="206">
        <f>$T8</f>
        <v>0</v>
      </c>
      <c r="DH32" s="206">
        <f>$T9</f>
        <v>0.95</v>
      </c>
      <c r="DI32" s="206">
        <f>$T10</f>
        <v>0</v>
      </c>
      <c r="DJ32" s="206">
        <f>$T11</f>
        <v>0</v>
      </c>
      <c r="DK32" s="206">
        <f>$T12</f>
        <v>0</v>
      </c>
      <c r="DL32" s="206">
        <f>$T13</f>
        <v>0</v>
      </c>
      <c r="DM32" s="206">
        <f>$T14</f>
        <v>0</v>
      </c>
      <c r="DN32" s="206">
        <f>$T15</f>
        <v>0</v>
      </c>
      <c r="DO32" s="206">
        <f>$T16</f>
        <v>0.5</v>
      </c>
      <c r="DP32" s="206">
        <f>$T17</f>
        <v>0</v>
      </c>
      <c r="DQ32" s="206">
        <f>$T18</f>
        <v>0</v>
      </c>
      <c r="DR32" s="206">
        <f>$T19</f>
        <v>0.9</v>
      </c>
      <c r="DS32" s="206">
        <f>$T20</f>
        <v>0</v>
      </c>
      <c r="DT32" s="206">
        <f>$T21</f>
        <v>0</v>
      </c>
      <c r="DU32" s="206">
        <f>$T22</f>
        <v>0</v>
      </c>
      <c r="DV32" s="206">
        <f>$T23</f>
        <v>0</v>
      </c>
      <c r="DW32" s="206">
        <f>$T24</f>
        <v>0</v>
      </c>
      <c r="DX32" s="206">
        <f>$T25</f>
        <v>0.9</v>
      </c>
      <c r="DY32" s="206">
        <f>$T26</f>
        <v>0</v>
      </c>
      <c r="DZ32" s="206">
        <f>$T27</f>
        <v>0</v>
      </c>
    </row>
    <row r="33" spans="1:130" x14ac:dyDescent="0.2">
      <c r="A33" s="450"/>
      <c r="B33" s="281">
        <v>2</v>
      </c>
      <c r="C33" s="6" t="s">
        <v>120</v>
      </c>
      <c r="G33" t="s">
        <v>334</v>
      </c>
      <c r="AJ33" s="372">
        <f t="shared" si="71"/>
        <v>5.0000000000000001E-3</v>
      </c>
      <c r="AK33" s="61">
        <f t="shared" si="72"/>
        <v>5.0000000000000001E-3</v>
      </c>
      <c r="AL33" s="379" t="s">
        <v>354</v>
      </c>
      <c r="AQ33">
        <f>1160*EXP(AQ32*45)</f>
        <v>2999.1430600487124</v>
      </c>
      <c r="AT33" s="92">
        <f>12/17*AT32+5/17*AQ37</f>
        <v>3.823810493859249E-2</v>
      </c>
      <c r="AU33" s="258" t="s">
        <v>125</v>
      </c>
      <c r="AV33"/>
      <c r="AW33"/>
      <c r="AX33"/>
      <c r="AY33" s="37"/>
      <c r="AZ33" s="37"/>
      <c r="BC33" s="54"/>
      <c r="BD33" s="54"/>
      <c r="BE33" s="55"/>
      <c r="BM33" s="14"/>
      <c r="BN33" s="15"/>
      <c r="BO33" s="15"/>
      <c r="BP33" s="15"/>
      <c r="BQ33" s="15"/>
      <c r="BR33" s="379"/>
      <c r="BS33" s="258"/>
      <c r="BT33" s="387"/>
      <c r="BZ33" s="17"/>
      <c r="CA33" s="17"/>
      <c r="CB33" s="17"/>
      <c r="CC33" s="17"/>
      <c r="CD33" s="17"/>
      <c r="CE33" s="17"/>
      <c r="CF33" s="17"/>
      <c r="CG33" s="31"/>
      <c r="DB33" s="275">
        <f t="shared" ref="DB33:DB56" si="73">U4</f>
        <v>40544</v>
      </c>
      <c r="DC33" s="163">
        <f>BZ4</f>
        <v>100</v>
      </c>
      <c r="DD33" s="17">
        <f>DC33*(1-DC$32)*EXP($AQ$38*15)</f>
        <v>91.368346592039458</v>
      </c>
      <c r="DE33" s="17">
        <f t="shared" ref="DE33:DT48" si="74">DD33*(1-DD$32)*EXP($AQ$38*15)</f>
        <v>83.481747589630487</v>
      </c>
      <c r="DF33" s="17">
        <f t="shared" si="74"/>
        <v>76.275892478785138</v>
      </c>
      <c r="DG33" s="17">
        <f t="shared" si="74"/>
        <v>69.692021806187768</v>
      </c>
      <c r="DH33" s="165">
        <f t="shared" si="74"/>
        <v>63.67644803087736</v>
      </c>
      <c r="DI33" s="165">
        <f t="shared" si="74"/>
        <v>2.9090058867175981</v>
      </c>
      <c r="DJ33" s="165">
        <f t="shared" si="74"/>
        <v>2.657910580958966</v>
      </c>
      <c r="DK33" s="165">
        <f t="shared" si="74"/>
        <v>2.4284889517170778</v>
      </c>
      <c r="DL33" s="165">
        <f t="shared" si="74"/>
        <v>2.2188702023542457</v>
      </c>
      <c r="DM33" s="165">
        <f t="shared" si="74"/>
        <v>2.0273450169145146</v>
      </c>
      <c r="DN33" s="165">
        <f t="shared" si="74"/>
        <v>1.8523516216708948</v>
      </c>
      <c r="DO33" s="165">
        <f t="shared" si="74"/>
        <v>1.6924630497915267</v>
      </c>
      <c r="DP33" s="165">
        <f t="shared" si="74"/>
        <v>0.77318775263786177</v>
      </c>
      <c r="DQ33" s="165">
        <f t="shared" si="74"/>
        <v>0.70644886563736231</v>
      </c>
      <c r="DR33" s="165">
        <f t="shared" si="74"/>
        <v>0.64547064805107635</v>
      </c>
      <c r="DS33" s="165">
        <f t="shared" si="74"/>
        <v>5.897558588611905E-2</v>
      </c>
      <c r="DT33" s="165">
        <f t="shared" si="74"/>
        <v>5.3885017717115159E-2</v>
      </c>
      <c r="DU33" s="165">
        <f t="shared" ref="DU33:DZ48" si="75">DT33*(1-DT$32)*EXP($AQ$38*15)</f>
        <v>4.9233849748955651E-2</v>
      </c>
      <c r="DV33" s="165">
        <f t="shared" si="75"/>
        <v>4.4984154479229752E-2</v>
      </c>
      <c r="DW33" s="165">
        <f t="shared" si="75"/>
        <v>4.1101278176081085E-2</v>
      </c>
      <c r="DX33" s="165">
        <f t="shared" si="75"/>
        <v>3.7553558297680041E-2</v>
      </c>
      <c r="DY33" s="165">
        <f t="shared" si="75"/>
        <v>3.4312065303067885E-3</v>
      </c>
      <c r="DZ33" s="165">
        <f t="shared" si="75"/>
        <v>3.135036674899398E-3</v>
      </c>
    </row>
    <row r="34" spans="1:130" ht="13.5" thickBot="1" x14ac:dyDescent="0.25">
      <c r="A34" s="450"/>
      <c r="C34" t="s">
        <v>264</v>
      </c>
      <c r="V34" s="64"/>
      <c r="Z34" s="64"/>
      <c r="AJ34" s="372">
        <f t="shared" si="71"/>
        <v>6.0000000000000001E-3</v>
      </c>
      <c r="AK34" s="61">
        <f t="shared" si="72"/>
        <v>6.0000000000000001E-3</v>
      </c>
      <c r="AL34" s="379" t="s">
        <v>355</v>
      </c>
      <c r="AR34"/>
      <c r="AS34"/>
      <c r="AV34"/>
      <c r="AW34"/>
      <c r="AX34"/>
      <c r="AY34" s="37"/>
      <c r="AZ34" s="37"/>
      <c r="BC34"/>
      <c r="BD34"/>
      <c r="BE34" s="55"/>
      <c r="BM34" s="14"/>
      <c r="BN34" s="15"/>
      <c r="BO34" s="15"/>
      <c r="BP34" s="15"/>
      <c r="BQ34" s="15"/>
      <c r="BR34" s="379"/>
      <c r="BS34" s="258"/>
      <c r="BT34" s="387"/>
      <c r="BZ34" s="17"/>
      <c r="CA34" s="17"/>
      <c r="CB34" s="17"/>
      <c r="CC34" s="17"/>
      <c r="CD34" s="17"/>
      <c r="CE34" s="17"/>
      <c r="CF34" s="17"/>
      <c r="CG34" s="31"/>
      <c r="DB34" s="275">
        <f t="shared" si="73"/>
        <v>40558</v>
      </c>
      <c r="DD34" s="163">
        <f>DB5</f>
        <v>42.731396330327897</v>
      </c>
      <c r="DE34" s="17">
        <f t="shared" si="74"/>
        <v>39.042970302712021</v>
      </c>
      <c r="DF34" s="17">
        <f t="shared" si="74"/>
        <v>35.67291642600896</v>
      </c>
      <c r="DG34" s="17">
        <f t="shared" si="74"/>
        <v>32.593753919604445</v>
      </c>
      <c r="DH34" s="17">
        <f t="shared" si="74"/>
        <v>29.780374048620637</v>
      </c>
      <c r="DI34" s="165">
        <f t="shared" si="74"/>
        <v>1.3604917688574749</v>
      </c>
      <c r="DJ34" s="165">
        <f>DI34*(1-DI$32)*EXP($AQ$38*15)</f>
        <v>1.243058834725866</v>
      </c>
      <c r="DK34" s="165">
        <f t="shared" si="74"/>
        <v>1.1357623044552962</v>
      </c>
      <c r="DL34" s="165">
        <f t="shared" si="74"/>
        <v>1.0377272387964496</v>
      </c>
      <c r="DM34" s="165">
        <f t="shared" si="74"/>
        <v>0.94815422022354101</v>
      </c>
      <c r="DN34" s="165">
        <f t="shared" si="74"/>
        <v>0.86631283416089411</v>
      </c>
      <c r="DO34" s="165">
        <f t="shared" si="74"/>
        <v>0.79153571288744573</v>
      </c>
      <c r="DP34" s="165">
        <f t="shared" si="74"/>
        <v>0.3616065467753859</v>
      </c>
      <c r="DQ34" s="165">
        <f t="shared" si="74"/>
        <v>0.33039392295723991</v>
      </c>
      <c r="DR34" s="165">
        <f t="shared" si="74"/>
        <v>0.30187546464660681</v>
      </c>
      <c r="DS34" s="165">
        <f t="shared" si="74"/>
        <v>2.7581862081464119E-2</v>
      </c>
      <c r="DT34" s="165">
        <f t="shared" si="74"/>
        <v>2.5201091343130446E-2</v>
      </c>
      <c r="DU34" s="165">
        <f t="shared" si="75"/>
        <v>2.3025820483367879E-2</v>
      </c>
      <c r="DV34" s="165">
        <f t="shared" si="75"/>
        <v>2.1038311464904379E-2</v>
      </c>
      <c r="DW34" s="165">
        <f t="shared" si="75"/>
        <v>1.9222357336366607E-2</v>
      </c>
      <c r="DX34" s="165">
        <f t="shared" si="75"/>
        <v>1.7563150074251768E-2</v>
      </c>
      <c r="DY34" s="165">
        <f t="shared" si="75"/>
        <v>1.6047159832322387E-3</v>
      </c>
      <c r="DZ34" s="165">
        <f t="shared" si="75"/>
        <v>1.4662024613774857E-3</v>
      </c>
    </row>
    <row r="35" spans="1:130" ht="18.75" thickTop="1" x14ac:dyDescent="0.2">
      <c r="A35" s="450"/>
      <c r="B35" s="461" t="s">
        <v>206</v>
      </c>
      <c r="C35" s="461"/>
      <c r="D35" s="461"/>
      <c r="E35" s="461"/>
      <c r="F35" s="461"/>
      <c r="G35" s="461"/>
      <c r="H35" s="461"/>
      <c r="I35" s="461"/>
      <c r="J35" s="461"/>
      <c r="K35" s="461"/>
      <c r="L35" s="461"/>
      <c r="M35" s="461"/>
      <c r="N35" s="461"/>
      <c r="O35" s="461"/>
      <c r="P35" s="461"/>
      <c r="Q35" s="461"/>
      <c r="R35" s="461"/>
      <c r="S35" s="461"/>
      <c r="T35" s="461"/>
      <c r="U35" s="462" t="s">
        <v>340</v>
      </c>
      <c r="V35" s="463"/>
      <c r="W35" s="463"/>
      <c r="X35" s="463"/>
      <c r="Y35" s="463"/>
      <c r="Z35" s="463"/>
      <c r="AA35" s="464"/>
      <c r="AB35" s="355"/>
      <c r="AI35" s="60"/>
      <c r="AJ35" s="330">
        <f t="shared" si="71"/>
        <v>0.75</v>
      </c>
      <c r="AK35" s="171">
        <f t="shared" si="72"/>
        <v>0.75</v>
      </c>
      <c r="AL35" s="379" t="s">
        <v>134</v>
      </c>
      <c r="AV35"/>
      <c r="AW35"/>
      <c r="AY35" s="37"/>
      <c r="AZ35" s="37"/>
      <c r="BC35"/>
      <c r="BD35"/>
      <c r="BE35" s="55"/>
      <c r="BM35" s="14"/>
      <c r="BN35" s="15"/>
      <c r="BO35" s="15"/>
      <c r="BP35" s="15"/>
      <c r="BQ35" s="15"/>
      <c r="BR35" s="379"/>
      <c r="BS35" s="258"/>
      <c r="BZ35" s="17"/>
      <c r="CA35" s="17"/>
      <c r="CB35" s="17"/>
      <c r="CC35" s="17"/>
      <c r="CD35" s="17"/>
      <c r="CE35" s="17"/>
      <c r="CF35" s="17"/>
      <c r="CG35" s="31"/>
      <c r="DB35" s="275">
        <f t="shared" si="73"/>
        <v>40575</v>
      </c>
      <c r="DE35" s="163">
        <f>DB6</f>
        <v>124.88209126179555</v>
      </c>
      <c r="DF35" s="17">
        <f t="shared" si="74"/>
        <v>114.10270197546438</v>
      </c>
      <c r="DG35" s="17">
        <f t="shared" si="74"/>
        <v>104.25375221182416</v>
      </c>
      <c r="DH35" s="17">
        <f t="shared" si="74"/>
        <v>95.254929656105503</v>
      </c>
      <c r="DI35" s="17">
        <f t="shared" si="74"/>
        <v>4.3516427137096967</v>
      </c>
      <c r="DJ35" s="165">
        <f t="shared" si="74"/>
        <v>3.976023997109507</v>
      </c>
      <c r="DK35" s="165">
        <f t="shared" si="74"/>
        <v>3.6328273862616753</v>
      </c>
      <c r="DL35" s="165">
        <f t="shared" si="74"/>
        <v>3.3192543173700959</v>
      </c>
      <c r="DM35" s="165">
        <f t="shared" si="74"/>
        <v>3.0327477889659429</v>
      </c>
      <c r="DN35" s="165">
        <f t="shared" si="74"/>
        <v>2.7709715110848161</v>
      </c>
      <c r="DO35" s="165">
        <f t="shared" si="74"/>
        <v>2.5317908542146479</v>
      </c>
      <c r="DP35" s="165">
        <f t="shared" si="74"/>
        <v>1.156627721332198</v>
      </c>
      <c r="DQ35" s="165">
        <f t="shared" si="74"/>
        <v>1.0567916252064111</v>
      </c>
      <c r="DR35" s="165">
        <f t="shared" si="74"/>
        <v>0.9655730348742404</v>
      </c>
      <c r="DS35" s="165">
        <f t="shared" si="74"/>
        <v>8.8222811710316984E-2</v>
      </c>
      <c r="DT35" s="165">
        <f t="shared" si="74"/>
        <v>8.0607724376724796E-2</v>
      </c>
      <c r="DU35" s="165">
        <f t="shared" si="75"/>
        <v>7.3649944988481791E-2</v>
      </c>
      <c r="DV35" s="165">
        <f t="shared" si="75"/>
        <v>6.729273700192244E-2</v>
      </c>
      <c r="DW35" s="165">
        <f t="shared" si="75"/>
        <v>6.1484261175186079E-2</v>
      </c>
      <c r="DX35" s="165">
        <f t="shared" si="75"/>
        <v>5.617715285009877E-2</v>
      </c>
      <c r="DY35" s="165">
        <f t="shared" si="75"/>
        <v>5.1328135721618005E-3</v>
      </c>
      <c r="DZ35" s="165">
        <f t="shared" si="75"/>
        <v>4.6897668945360352E-3</v>
      </c>
    </row>
    <row r="36" spans="1:130" ht="12.95" customHeight="1" thickBot="1" x14ac:dyDescent="0.25">
      <c r="B36" s="371" t="s">
        <v>353</v>
      </c>
      <c r="U36" s="465"/>
      <c r="V36" s="466"/>
      <c r="W36" s="466"/>
      <c r="X36" s="466"/>
      <c r="Y36" s="466"/>
      <c r="Z36" s="466"/>
      <c r="AA36" s="467"/>
      <c r="AB36" s="355"/>
      <c r="AJ36" s="12"/>
      <c r="AK36">
        <v>15.208333333333334</v>
      </c>
      <c r="AL36" s="236" t="s">
        <v>300</v>
      </c>
      <c r="AP36" t="s">
        <v>217</v>
      </c>
      <c r="AV36"/>
      <c r="AW36"/>
      <c r="AY36" s="37"/>
      <c r="AZ36" s="37"/>
      <c r="BC36"/>
      <c r="BD36"/>
      <c r="BE36" s="55"/>
      <c r="BL36" s="37"/>
      <c r="BM36" s="14"/>
      <c r="BN36" s="15"/>
      <c r="BO36" s="15"/>
      <c r="BP36" s="15"/>
      <c r="BQ36" s="15"/>
      <c r="BR36" s="379"/>
      <c r="BS36" s="258"/>
      <c r="BZ36" s="17"/>
      <c r="CA36" s="17"/>
      <c r="CB36" s="17"/>
      <c r="CC36" s="17"/>
      <c r="CD36" s="17"/>
      <c r="CE36" s="17"/>
      <c r="CF36" s="17"/>
      <c r="CG36" s="31"/>
      <c r="DB36" s="275">
        <f t="shared" si="73"/>
        <v>40589</v>
      </c>
      <c r="DF36" s="163">
        <f>DB7</f>
        <v>206.03184167267491</v>
      </c>
      <c r="DG36" s="17">
        <f t="shared" si="74"/>
        <v>188.2478871894516</v>
      </c>
      <c r="DH36" s="17">
        <f t="shared" si="74"/>
        <v>171.99898201944958</v>
      </c>
      <c r="DI36" s="17">
        <f t="shared" si="74"/>
        <v>7.8576313013155241</v>
      </c>
      <c r="DJ36" s="17">
        <f t="shared" si="74"/>
        <v>7.1793878013105488</v>
      </c>
      <c r="DK36" s="165">
        <f t="shared" si="74"/>
        <v>6.5596879294880237</v>
      </c>
      <c r="DL36" s="165">
        <f t="shared" si="74"/>
        <v>5.993478402770795</v>
      </c>
      <c r="DM36" s="165">
        <f t="shared" si="74"/>
        <v>5.4761421199626508</v>
      </c>
      <c r="DN36" s="165">
        <f t="shared" si="74"/>
        <v>5.0034605120401325</v>
      </c>
      <c r="DO36" s="165">
        <f t="shared" si="74"/>
        <v>4.5715791422366605</v>
      </c>
      <c r="DP36" s="165">
        <f t="shared" si="74"/>
        <v>2.0884881377040885</v>
      </c>
      <c r="DQ36" s="165">
        <f t="shared" si="74"/>
        <v>1.908217080191102</v>
      </c>
      <c r="DR36" s="165">
        <f t="shared" si="74"/>
        <v>1.7435063955575016</v>
      </c>
      <c r="DS36" s="165">
        <f t="shared" si="74"/>
        <v>0.15930129663473522</v>
      </c>
      <c r="DT36" s="165">
        <f t="shared" si="74"/>
        <v>0.14555096083483776</v>
      </c>
      <c r="DU36" s="165">
        <f t="shared" si="75"/>
        <v>0.13298750636361817</v>
      </c>
      <c r="DV36" s="165">
        <f t="shared" si="75"/>
        <v>0.12150848573842118</v>
      </c>
      <c r="DW36" s="165">
        <f t="shared" si="75"/>
        <v>0.1110202943882195</v>
      </c>
      <c r="DX36" s="165">
        <f t="shared" si="75"/>
        <v>0.10143740736413093</v>
      </c>
      <c r="DY36" s="165">
        <f t="shared" si="75"/>
        <v>9.2681681934438081E-3</v>
      </c>
      <c r="DZ36" s="165">
        <f t="shared" si="75"/>
        <v>8.4681720377189004E-3</v>
      </c>
    </row>
    <row r="37" spans="1:130" ht="12.95" customHeight="1" thickTop="1" x14ac:dyDescent="0.2">
      <c r="B37" s="6" t="s">
        <v>207</v>
      </c>
      <c r="C37" s="387"/>
      <c r="AA37" s="66"/>
      <c r="AK37" s="412">
        <v>0.5</v>
      </c>
      <c r="AL37" s="379" t="s">
        <v>359</v>
      </c>
      <c r="AQ37" s="85">
        <f>LN(1-AK33)</f>
        <v>-5.0125418235442863E-3</v>
      </c>
      <c r="AR37" s="387" t="s">
        <v>178</v>
      </c>
      <c r="AY37" s="30"/>
      <c r="AZ37" s="30"/>
      <c r="BC37"/>
      <c r="BD37"/>
      <c r="BE37" s="55"/>
      <c r="BL37" s="37"/>
      <c r="BM37" s="14"/>
      <c r="BN37" s="15"/>
      <c r="BO37" s="15"/>
      <c r="BP37" s="15"/>
      <c r="BQ37" s="15"/>
      <c r="BR37" s="379"/>
      <c r="BS37" s="258"/>
      <c r="CG37" s="31"/>
      <c r="DB37" s="275">
        <f t="shared" si="73"/>
        <v>40603</v>
      </c>
      <c r="DG37" s="163">
        <f>DB8</f>
        <v>310.88183969449665</v>
      </c>
      <c r="DH37" s="17">
        <f>DG37*(1-DG$32)*EXP($AQ$38*15)</f>
        <v>284.04759678377621</v>
      </c>
      <c r="DI37" s="17">
        <f t="shared" si="74"/>
        <v>12.976479635787982</v>
      </c>
      <c r="DJ37" s="17">
        <f t="shared" si="74"/>
        <v>11.856394889072183</v>
      </c>
      <c r="DK37" s="17">
        <f t="shared" si="74"/>
        <v>10.832991975568325</v>
      </c>
      <c r="DL37" s="165">
        <f t="shared" si="74"/>
        <v>9.8979256545250891</v>
      </c>
      <c r="DM37" s="165">
        <f t="shared" si="74"/>
        <v>9.0435710174488744</v>
      </c>
      <c r="DN37" s="165">
        <f t="shared" si="74"/>
        <v>8.2629613115199163</v>
      </c>
      <c r="DO37" s="165">
        <f t="shared" si="74"/>
        <v>7.5497311298756467</v>
      </c>
      <c r="DP37" s="165">
        <f t="shared" si="74"/>
        <v>3.4490322527559387</v>
      </c>
      <c r="DQ37" s="165">
        <f t="shared" si="74"/>
        <v>3.1513237427692724</v>
      </c>
      <c r="DR37" s="165">
        <f t="shared" si="74"/>
        <v>2.8793123995306589</v>
      </c>
      <c r="DS37" s="165">
        <f t="shared" si="74"/>
        <v>0.26307801326707397</v>
      </c>
      <c r="DT37" s="165">
        <f t="shared" si="74"/>
        <v>0.2403700309693117</v>
      </c>
      <c r="DU37" s="165">
        <f t="shared" si="75"/>
        <v>0.21962212299943332</v>
      </c>
      <c r="DV37" s="165">
        <f t="shared" si="75"/>
        <v>0.20066510253491746</v>
      </c>
      <c r="DW37" s="165">
        <f t="shared" si="75"/>
        <v>0.18334438637337475</v>
      </c>
      <c r="DX37" s="165">
        <f t="shared" si="75"/>
        <v>0.16751873439867301</v>
      </c>
      <c r="DY37" s="165">
        <f t="shared" si="75"/>
        <v>1.5305909785197757E-2</v>
      </c>
      <c r="DZ37" s="165">
        <f t="shared" si="75"/>
        <v>1.3984756701604369E-2</v>
      </c>
    </row>
    <row r="38" spans="1:130" ht="12.95" customHeight="1" x14ac:dyDescent="0.2">
      <c r="B38" s="468"/>
      <c r="C38" s="469"/>
      <c r="D38" t="s">
        <v>208</v>
      </c>
      <c r="Y38" t="s">
        <v>217</v>
      </c>
      <c r="AB38" s="237"/>
      <c r="AK38" s="412">
        <v>7.0000000000000007E-2</v>
      </c>
      <c r="AL38" s="379" t="s">
        <v>243</v>
      </c>
      <c r="AQ38" s="85">
        <f>LN(1-AK34)</f>
        <v>-6.0180723255630212E-3</v>
      </c>
      <c r="AR38" s="387" t="s">
        <v>220</v>
      </c>
      <c r="AY38" s="30"/>
      <c r="AZ38" s="30"/>
      <c r="BB38" s="58"/>
      <c r="BC38"/>
      <c r="BD38"/>
      <c r="BE38" s="55"/>
      <c r="BL38" s="37"/>
      <c r="BM38" s="14"/>
      <c r="BN38" s="15"/>
      <c r="BO38" s="15"/>
      <c r="BP38" s="15"/>
      <c r="BQ38" s="15"/>
      <c r="BR38" s="379"/>
      <c r="BS38" s="258"/>
      <c r="CG38" s="31"/>
      <c r="DB38" s="275">
        <f t="shared" si="73"/>
        <v>40617</v>
      </c>
      <c r="DH38" s="163">
        <f>DB9</f>
        <v>538.78305370093926</v>
      </c>
      <c r="DI38" s="17">
        <f t="shared" si="74"/>
        <v>24.613858394232437</v>
      </c>
      <c r="DJ38" s="17">
        <f t="shared" si="74"/>
        <v>22.489275447316093</v>
      </c>
      <c r="DK38" s="17">
        <f t="shared" si="74"/>
        <v>20.548079136742199</v>
      </c>
      <c r="DL38" s="17">
        <f t="shared" si="74"/>
        <v>18.774440163665162</v>
      </c>
      <c r="DM38" s="165">
        <f t="shared" si="74"/>
        <v>17.153895559452646</v>
      </c>
      <c r="DN38" s="165">
        <f t="shared" si="74"/>
        <v>15.673230748797161</v>
      </c>
      <c r="DO38" s="165">
        <f t="shared" si="74"/>
        <v>14.320371792731093</v>
      </c>
      <c r="DP38" s="165">
        <f t="shared" si="74"/>
        <v>6.5421434664255997</v>
      </c>
      <c r="DQ38" s="165">
        <f t="shared" si="74"/>
        <v>5.9774483169522066</v>
      </c>
      <c r="DR38" s="165">
        <f t="shared" si="74"/>
        <v>5.4614956955929213</v>
      </c>
      <c r="DS38" s="165">
        <f t="shared" si="74"/>
        <v>0.49900783162586559</v>
      </c>
      <c r="DT38" s="165">
        <f t="shared" si="74"/>
        <v>0.45593520512134156</v>
      </c>
      <c r="DU38" s="165">
        <f t="shared" si="75"/>
        <v>0.41658045845039343</v>
      </c>
      <c r="DV38" s="165">
        <f t="shared" si="75"/>
        <v>0.38062267711166242</v>
      </c>
      <c r="DW38" s="165">
        <f t="shared" si="75"/>
        <v>0.347768646831283</v>
      </c>
      <c r="DX38" s="165">
        <f t="shared" si="75"/>
        <v>0.3177504625752523</v>
      </c>
      <c r="DY38" s="165">
        <f t="shared" si="75"/>
        <v>2.9032334394356513E-2</v>
      </c>
      <c r="DZ38" s="165">
        <f t="shared" si="75"/>
        <v>2.6526363913195541E-2</v>
      </c>
    </row>
    <row r="39" spans="1:130" ht="12.95" customHeight="1" x14ac:dyDescent="0.2">
      <c r="B39" s="111" t="str">
        <f>IF($B$38="","V","")</f>
        <v>V</v>
      </c>
      <c r="C39" s="111" t="str">
        <f>IF($B$38="custom","V","")</f>
        <v/>
      </c>
      <c r="D39" s="124" t="str">
        <f>IF($B$38="","Blue Default Values Apply--type 'custom' into the green cell to change",IF(B38="custom","Custom Values Apply--note the profound effects of tiny tweaks of some variables!","Error"))</f>
        <v>Blue Default Values Apply--type 'custom' into the green cell to change</v>
      </c>
      <c r="T39" t="s">
        <v>265</v>
      </c>
      <c r="AB39" s="237"/>
      <c r="AJ39" s="331">
        <f>B49</f>
        <v>0.05</v>
      </c>
      <c r="AK39" s="171">
        <f>IF($B$38="custom",C49,IF($B$38="",AJ39,"error"))</f>
        <v>0.05</v>
      </c>
      <c r="AL39" s="379" t="s">
        <v>324</v>
      </c>
      <c r="AP39" s="12"/>
      <c r="AY39" s="37"/>
      <c r="AZ39" s="37"/>
      <c r="BC39" s="20"/>
      <c r="BD39" s="20"/>
      <c r="BE39" s="99"/>
      <c r="BL39" s="37"/>
      <c r="BM39" s="14"/>
      <c r="BN39" s="15"/>
      <c r="BO39" s="15"/>
      <c r="BP39" s="15"/>
      <c r="BQ39" s="15"/>
      <c r="BR39" s="379"/>
      <c r="BS39" s="258"/>
      <c r="CG39" s="31"/>
      <c r="DB39" s="275">
        <f t="shared" si="73"/>
        <v>40634</v>
      </c>
      <c r="DI39" s="163">
        <f>DB10</f>
        <v>50.181255631221177</v>
      </c>
      <c r="DJ39" s="17">
        <f t="shared" si="74"/>
        <v>45.849783569371482</v>
      </c>
      <c r="DK39" s="17">
        <f t="shared" si="74"/>
        <v>41.892189163363298</v>
      </c>
      <c r="DL39" s="17">
        <f t="shared" si="74"/>
        <v>38.276200589774575</v>
      </c>
      <c r="DM39" s="17">
        <f t="shared" si="74"/>
        <v>34.972331617129484</v>
      </c>
      <c r="DN39" s="165">
        <f t="shared" si="74"/>
        <v>31.953641163256265</v>
      </c>
      <c r="DO39" s="165">
        <f t="shared" si="74"/>
        <v>29.195513606820573</v>
      </c>
      <c r="DP39" s="165">
        <f t="shared" si="74"/>
        <v>13.337729030802931</v>
      </c>
      <c r="DQ39" s="165">
        <f t="shared" si="74"/>
        <v>12.186462488371088</v>
      </c>
      <c r="DR39" s="165">
        <f t="shared" si="74"/>
        <v>11.134569283683772</v>
      </c>
      <c r="DS39" s="165">
        <f t="shared" si="74"/>
        <v>1.0173471854646954</v>
      </c>
      <c r="DT39" s="165">
        <f t="shared" si="74"/>
        <v>0.92953330245974142</v>
      </c>
      <c r="DU39" s="165">
        <f t="shared" si="75"/>
        <v>0.84929920947984705</v>
      </c>
      <c r="DV39" s="165">
        <f t="shared" si="75"/>
        <v>0.77599064532099793</v>
      </c>
      <c r="DW39" s="165">
        <f t="shared" si="75"/>
        <v>0.70900982233869303</v>
      </c>
      <c r="DX39" s="165">
        <f t="shared" si="75"/>
        <v>0.64781055184602032</v>
      </c>
      <c r="DY39" s="165">
        <f t="shared" si="75"/>
        <v>5.9189379027047524E-2</v>
      </c>
      <c r="DZ39" s="165">
        <f t="shared" si="75"/>
        <v>5.4080356975108698E-2</v>
      </c>
    </row>
    <row r="40" spans="1:130" ht="12.75" customHeight="1" x14ac:dyDescent="0.2">
      <c r="B40" s="120">
        <v>1.45</v>
      </c>
      <c r="C40" s="328">
        <v>1.2</v>
      </c>
      <c r="D40" s="379" t="s">
        <v>357</v>
      </c>
      <c r="T40" s="376" t="s">
        <v>217</v>
      </c>
      <c r="U40" s="470">
        <f>IF(B38="custom", C40*C41,B40*B41)</f>
        <v>1.0149999999999999</v>
      </c>
      <c r="V40" s="471" t="s">
        <v>198</v>
      </c>
      <c r="W40" s="472"/>
      <c r="X40" s="472"/>
      <c r="Y40" s="472"/>
      <c r="Z40" s="472"/>
      <c r="AA40" s="473"/>
      <c r="AB40" s="237"/>
      <c r="AY40" s="37"/>
      <c r="AZ40" s="37"/>
      <c r="BC40" s="12"/>
      <c r="BD40" s="12"/>
      <c r="BE40" s="55"/>
      <c r="BL40" s="37"/>
      <c r="BM40" s="14"/>
      <c r="BN40" s="15"/>
      <c r="BO40" s="15"/>
      <c r="BP40" s="15"/>
      <c r="BQ40" s="15"/>
      <c r="BR40" s="379"/>
      <c r="BS40" s="258"/>
      <c r="CG40" s="31"/>
      <c r="DB40" s="275">
        <f t="shared" si="73"/>
        <v>40648</v>
      </c>
      <c r="DJ40" s="163">
        <f>DB11</f>
        <v>64.741301406116037</v>
      </c>
      <c r="DK40" s="17">
        <f t="shared" si="74"/>
        <v>59.153056656937018</v>
      </c>
      <c r="DL40" s="17">
        <f t="shared" si="74"/>
        <v>54.047169826095683</v>
      </c>
      <c r="DM40" s="17">
        <f t="shared" si="74"/>
        <v>49.382005449895274</v>
      </c>
      <c r="DN40" s="17">
        <f t="shared" si="74"/>
        <v>45.119521893560133</v>
      </c>
      <c r="DO40" s="165">
        <f t="shared" si="74"/>
        <v>41.224961144379151</v>
      </c>
      <c r="DP40" s="165">
        <f t="shared" si="74"/>
        <v>18.833282690414968</v>
      </c>
      <c r="DQ40" s="165">
        <f t="shared" si="74"/>
        <v>17.207659003236923</v>
      </c>
      <c r="DR40" s="165">
        <f t="shared" si="74"/>
        <v>15.722353518453795</v>
      </c>
      <c r="DS40" s="165">
        <f t="shared" si="74"/>
        <v>1.4365254455166572</v>
      </c>
      <c r="DT40" s="165">
        <f t="shared" si="74"/>
        <v>1.3125295479424983</v>
      </c>
      <c r="DU40" s="165">
        <f t="shared" si="75"/>
        <v>1.1992365464870307</v>
      </c>
      <c r="DV40" s="165">
        <f t="shared" si="75"/>
        <v>1.0957226042526746</v>
      </c>
      <c r="DW40" s="165">
        <f t="shared" si="75"/>
        <v>1.0011436267409046</v>
      </c>
      <c r="DX40" s="165">
        <f t="shared" si="75"/>
        <v>0.91472837876474355</v>
      </c>
      <c r="DY40" s="165">
        <f t="shared" si="75"/>
        <v>8.3577219548551421E-2</v>
      </c>
      <c r="DZ40" s="165">
        <f t="shared" si="75"/>
        <v>7.6363123629110227E-2</v>
      </c>
    </row>
    <row r="41" spans="1:130" ht="12.75" customHeight="1" x14ac:dyDescent="0.2">
      <c r="B41" s="110">
        <v>0.7</v>
      </c>
      <c r="C41" s="252">
        <v>0.7</v>
      </c>
      <c r="D41" s="236" t="s">
        <v>235</v>
      </c>
      <c r="R41" s="459" t="s">
        <v>217</v>
      </c>
      <c r="S41" s="459"/>
      <c r="U41" s="470"/>
      <c r="V41" s="474"/>
      <c r="W41" s="475"/>
      <c r="X41" s="475"/>
      <c r="Y41" s="475"/>
      <c r="Z41" s="475"/>
      <c r="AA41" s="476"/>
      <c r="AB41" s="378"/>
      <c r="AC41" s="378"/>
      <c r="AD41" s="378"/>
      <c r="AE41" s="378"/>
      <c r="AJ41" s="87">
        <v>5</v>
      </c>
      <c r="AK41" s="61">
        <f>IF($B$38="custom",C48,IF($B$38="",AJ41,"error"))</f>
        <v>5</v>
      </c>
      <c r="AL41" t="s">
        <v>6</v>
      </c>
      <c r="AY41" s="37"/>
      <c r="AZ41" s="37"/>
      <c r="BC41"/>
      <c r="BD41"/>
      <c r="BE41" s="55"/>
      <c r="BL41" s="37"/>
      <c r="BM41" s="14"/>
      <c r="BN41" s="15"/>
      <c r="BO41" s="15"/>
      <c r="BP41" s="15"/>
      <c r="BQ41" s="15"/>
      <c r="BR41" s="379"/>
      <c r="BS41" s="258"/>
      <c r="CG41" s="31"/>
      <c r="DB41" s="275">
        <f t="shared" si="73"/>
        <v>40664</v>
      </c>
      <c r="DD41" s="164" t="s">
        <v>188</v>
      </c>
      <c r="DE41" s="164"/>
      <c r="DF41" s="164"/>
      <c r="DG41" s="164"/>
      <c r="DK41" s="163">
        <f>DB12</f>
        <v>98.739823402273345</v>
      </c>
      <c r="DL41" s="17">
        <f t="shared" si="74"/>
        <v>90.216944070556806</v>
      </c>
      <c r="DM41" s="17">
        <f t="shared" si="74"/>
        <v>82.429730143132744</v>
      </c>
      <c r="DN41" s="17">
        <f t="shared" si="74"/>
        <v>75.314681532060348</v>
      </c>
      <c r="DO41" s="17">
        <f t="shared" si="74"/>
        <v>68.813779256903629</v>
      </c>
      <c r="DP41" s="165">
        <f t="shared" si="74"/>
        <v>31.437006167264332</v>
      </c>
      <c r="DQ41" s="165">
        <f t="shared" si="74"/>
        <v>28.723472753066897</v>
      </c>
      <c r="DR41" s="165">
        <f t="shared" si="74"/>
        <v>26.244162138292182</v>
      </c>
      <c r="DS41" s="165">
        <f t="shared" si="74"/>
        <v>2.3978857022691589</v>
      </c>
      <c r="DT41" s="165">
        <f t="shared" si="74"/>
        <v>2.1909085193302444</v>
      </c>
      <c r="DU41" s="165">
        <f t="shared" si="75"/>
        <v>2.0017968894561777</v>
      </c>
      <c r="DV41" s="165">
        <f t="shared" si="75"/>
        <v>1.8290087200269856</v>
      </c>
      <c r="DW41" s="165">
        <f t="shared" si="75"/>
        <v>1.6711350265128808</v>
      </c>
      <c r="DX41" s="165">
        <f t="shared" si="75"/>
        <v>1.5268884430452596</v>
      </c>
      <c r="DY41" s="165">
        <f t="shared" si="75"/>
        <v>0.13950927247153874</v>
      </c>
      <c r="DZ41" s="165">
        <f t="shared" si="75"/>
        <v>0.12746731559982821</v>
      </c>
    </row>
    <row r="42" spans="1:130" ht="12.95" customHeight="1" x14ac:dyDescent="0.2">
      <c r="B42" s="120">
        <v>3.5</v>
      </c>
      <c r="C42" s="328">
        <v>3.5</v>
      </c>
      <c r="D42" s="379" t="s">
        <v>201</v>
      </c>
      <c r="E42" s="12"/>
      <c r="F42" s="12"/>
      <c r="G42" s="12"/>
      <c r="H42" s="12"/>
      <c r="I42" s="12"/>
      <c r="J42" s="12"/>
      <c r="K42" s="12"/>
      <c r="O42" s="480" t="s">
        <v>199</v>
      </c>
      <c r="P42" s="482" t="s">
        <v>200</v>
      </c>
      <c r="Q42" s="482"/>
      <c r="R42" s="482"/>
      <c r="S42" s="482"/>
      <c r="T42" s="483"/>
      <c r="V42" s="477"/>
      <c r="W42" s="478"/>
      <c r="X42" s="478"/>
      <c r="Y42" s="478"/>
      <c r="Z42" s="478"/>
      <c r="AA42" s="479"/>
      <c r="AJ42" s="87">
        <v>5</v>
      </c>
      <c r="AK42" s="61">
        <f>IF($B$38="custom",$C$47,IF($B$38="",AJ42,"error"))</f>
        <v>5</v>
      </c>
      <c r="AL42" t="s">
        <v>295</v>
      </c>
      <c r="AY42" s="37"/>
      <c r="AZ42" s="37"/>
      <c r="BC42"/>
      <c r="BD42"/>
      <c r="BE42" s="55"/>
      <c r="BL42" s="37"/>
      <c r="BM42" s="14"/>
      <c r="BN42" s="15"/>
      <c r="BO42" s="15"/>
      <c r="BP42" s="15"/>
      <c r="BQ42" s="15"/>
      <c r="BR42" s="379"/>
      <c r="BS42" s="258"/>
      <c r="CG42" s="31"/>
      <c r="DB42" s="275">
        <f t="shared" si="73"/>
        <v>40678</v>
      </c>
      <c r="DL42" s="163">
        <f>DB13</f>
        <v>152.89691869161871</v>
      </c>
      <c r="DM42" s="17">
        <f t="shared" si="74"/>
        <v>139.69938659870695</v>
      </c>
      <c r="DN42" s="17">
        <f t="shared" si="74"/>
        <v>127.64101973445969</v>
      </c>
      <c r="DO42" s="17">
        <f t="shared" si="74"/>
        <v>116.62348930459461</v>
      </c>
      <c r="DP42" s="17">
        <f t="shared" si="74"/>
        <v>53.278476957776043</v>
      </c>
      <c r="DQ42" s="165">
        <f t="shared" si="74"/>
        <v>48.679663485740697</v>
      </c>
      <c r="DR42" s="165">
        <f t="shared" si="74"/>
        <v>44.477803653490035</v>
      </c>
      <c r="DS42" s="165">
        <f t="shared" si="74"/>
        <v>4.0638633798647552</v>
      </c>
      <c r="DT42" s="165">
        <f t="shared" si="74"/>
        <v>3.7130847779417988</v>
      </c>
      <c r="DU42" s="165">
        <f t="shared" si="75"/>
        <v>3.3925841691661214</v>
      </c>
      <c r="DV42" s="165">
        <f t="shared" si="75"/>
        <v>3.0997480621103644</v>
      </c>
      <c r="DW42" s="165">
        <f t="shared" si="75"/>
        <v>2.8321885528690243</v>
      </c>
      <c r="DX42" s="165">
        <f t="shared" si="75"/>
        <v>2.587723853125437</v>
      </c>
      <c r="DY42" s="165">
        <f t="shared" si="75"/>
        <v>0.23643604989685271</v>
      </c>
      <c r="DZ42" s="165">
        <f t="shared" si="75"/>
        <v>0.21602770953828374</v>
      </c>
    </row>
    <row r="43" spans="1:130" ht="12.95" customHeight="1" x14ac:dyDescent="0.2">
      <c r="B43" s="110">
        <v>0.7</v>
      </c>
      <c r="C43" s="252">
        <v>0.7</v>
      </c>
      <c r="D43" s="379" t="s">
        <v>236</v>
      </c>
      <c r="O43" s="481"/>
      <c r="P43" s="484"/>
      <c r="Q43" s="484"/>
      <c r="R43" s="484"/>
      <c r="S43" s="484"/>
      <c r="T43" s="485"/>
      <c r="AJ43" s="87">
        <v>4500</v>
      </c>
      <c r="AK43" s="61">
        <v>4500</v>
      </c>
      <c r="AL43" s="23" t="s">
        <v>13</v>
      </c>
      <c r="AY43" s="37"/>
      <c r="AZ43" s="37"/>
      <c r="BC43"/>
      <c r="BD43"/>
      <c r="BE43" s="55"/>
      <c r="BL43" s="37"/>
      <c r="BM43" s="14"/>
      <c r="BN43" s="15"/>
      <c r="BO43" s="15"/>
      <c r="BP43" s="15"/>
      <c r="BQ43" s="15"/>
      <c r="BR43" s="379"/>
      <c r="BS43" s="258"/>
      <c r="CG43" s="31"/>
      <c r="DB43" s="275">
        <f t="shared" si="73"/>
        <v>40695</v>
      </c>
      <c r="DM43" s="163">
        <f>DB14</f>
        <v>238.57876375503548</v>
      </c>
      <c r="DN43" s="17">
        <f t="shared" si="74"/>
        <v>217.98547176270384</v>
      </c>
      <c r="DO43" s="17">
        <f t="shared" si="74"/>
        <v>199.16972136043955</v>
      </c>
      <c r="DP43" s="17">
        <f t="shared" si="74"/>
        <v>90.989040659502834</v>
      </c>
      <c r="DQ43" s="17">
        <f t="shared" si="74"/>
        <v>83.135182030546261</v>
      </c>
      <c r="DR43" s="165">
        <f t="shared" si="74"/>
        <v>75.959241257592424</v>
      </c>
      <c r="DS43" s="165">
        <f t="shared" si="74"/>
        <v>6.9402702820920465</v>
      </c>
      <c r="DT43" s="165">
        <f t="shared" si="74"/>
        <v>6.3412102057661759</v>
      </c>
      <c r="DU43" s="165">
        <f t="shared" si="75"/>
        <v>5.7938589189342187</v>
      </c>
      <c r="DV43" s="165">
        <f t="shared" si="75"/>
        <v>5.2937530981056078</v>
      </c>
      <c r="DW43" s="165">
        <f t="shared" si="75"/>
        <v>4.8368146784039583</v>
      </c>
      <c r="DX43" s="165">
        <f t="shared" si="75"/>
        <v>4.4193175993787674</v>
      </c>
      <c r="DY43" s="165">
        <f t="shared" si="75"/>
        <v>0.40378574212033891</v>
      </c>
      <c r="DZ43" s="165">
        <f t="shared" si="75"/>
        <v>0.36893235634974991</v>
      </c>
    </row>
    <row r="44" spans="1:130" x14ac:dyDescent="0.2">
      <c r="B44" s="121">
        <v>5.0000000000000001E-3</v>
      </c>
      <c r="C44" s="254">
        <v>5.0000000000000001E-3</v>
      </c>
      <c r="D44" s="379" t="s">
        <v>351</v>
      </c>
      <c r="Y44" s="362" t="s">
        <v>217</v>
      </c>
      <c r="AF44" s="379"/>
      <c r="AG44" s="379"/>
      <c r="AH44" s="258"/>
      <c r="AJ44" s="87">
        <v>2000</v>
      </c>
      <c r="AK44" s="61">
        <v>2000</v>
      </c>
      <c r="AL44" s="387" t="s">
        <v>14</v>
      </c>
      <c r="AY44" s="37"/>
      <c r="AZ44" s="37"/>
      <c r="BC44"/>
      <c r="BD44"/>
      <c r="BE44" s="55"/>
      <c r="BL44" s="37"/>
      <c r="BM44" s="19"/>
      <c r="BN44" s="379"/>
      <c r="BO44" s="379"/>
      <c r="BP44" s="379"/>
      <c r="BQ44" s="379"/>
      <c r="BR44" s="379"/>
      <c r="CG44" s="31"/>
      <c r="DB44" s="275">
        <f t="shared" si="73"/>
        <v>40709</v>
      </c>
      <c r="DN44" s="163">
        <f>DB15</f>
        <v>344.49513254184569</v>
      </c>
      <c r="DO44" s="17">
        <f t="shared" si="74"/>
        <v>314.75950669353932</v>
      </c>
      <c r="DP44" s="17">
        <f t="shared" si="74"/>
        <v>143.79527850357334</v>
      </c>
      <c r="DQ44" s="17">
        <f t="shared" si="74"/>
        <v>131.38336844613332</v>
      </c>
      <c r="DR44" s="17">
        <f t="shared" si="74"/>
        <v>120.04281144615931</v>
      </c>
      <c r="DS44" s="165">
        <f t="shared" si="74"/>
        <v>10.968113202095521</v>
      </c>
      <c r="DT44" s="165">
        <f t="shared" si="74"/>
        <v>10.021383685097874</v>
      </c>
      <c r="DU44" s="165">
        <f t="shared" si="75"/>
        <v>9.1563725787183223</v>
      </c>
      <c r="DV44" s="165">
        <f>DU44*(1-DU$32)*EXP($AQ$38*15)</f>
        <v>8.3660262329818185</v>
      </c>
      <c r="DW44" s="165">
        <f t="shared" si="75"/>
        <v>7.643899844531771</v>
      </c>
      <c r="DX44" s="165">
        <f t="shared" si="75"/>
        <v>6.9841049031001541</v>
      </c>
      <c r="DY44" s="165">
        <f t="shared" si="75"/>
        <v>0.63812611742161685</v>
      </c>
      <c r="DZ44" s="165">
        <f t="shared" si="75"/>
        <v>0.58304528266010758</v>
      </c>
    </row>
    <row r="45" spans="1:130" x14ac:dyDescent="0.2">
      <c r="B45" s="121">
        <v>6.0000000000000001E-3</v>
      </c>
      <c r="C45" s="254">
        <v>6.0000000000000001E-3</v>
      </c>
      <c r="D45" s="379" t="s">
        <v>352</v>
      </c>
      <c r="J45" s="12"/>
      <c r="K45" s="12"/>
      <c r="L45" s="12"/>
      <c r="M45" s="12"/>
      <c r="U45" s="12"/>
      <c r="V45" s="351" t="s">
        <v>217</v>
      </c>
      <c r="W45" s="44"/>
      <c r="X45" s="12"/>
      <c r="AF45" s="379"/>
      <c r="AG45" s="379"/>
      <c r="AJ45" s="87"/>
      <c r="AK45" s="61"/>
      <c r="AT45" s="376"/>
      <c r="AY45" s="37"/>
      <c r="AZ45" s="37"/>
      <c r="BC45"/>
      <c r="BD45"/>
      <c r="BE45" s="55"/>
      <c r="BG45" s="14"/>
      <c r="BL45" s="37"/>
      <c r="BM45" s="19"/>
      <c r="BN45" s="379"/>
      <c r="BO45" s="379"/>
      <c r="BP45" s="379"/>
      <c r="BQ45" s="379"/>
      <c r="BR45" s="379"/>
      <c r="CG45" s="31"/>
      <c r="DB45" s="275">
        <f t="shared" si="73"/>
        <v>40725</v>
      </c>
      <c r="DO45" s="163">
        <f>DB16</f>
        <v>425.55441365110727</v>
      </c>
      <c r="DP45" s="17">
        <f t="shared" si="74"/>
        <v>194.41101580123248</v>
      </c>
      <c r="DQ45" s="17">
        <f t="shared" si="74"/>
        <v>177.6301307303747</v>
      </c>
      <c r="DR45" s="17">
        <f t="shared" si="74"/>
        <v>162.29771349762154</v>
      </c>
      <c r="DS45" s="17">
        <f t="shared" si="74"/>
        <v>14.828873737946202</v>
      </c>
      <c r="DT45" s="165">
        <f t="shared" si="74"/>
        <v>13.548896752582603</v>
      </c>
      <c r="DU45" s="165">
        <f t="shared" si="75"/>
        <v>12.379402944297253</v>
      </c>
      <c r="DV45" s="165">
        <f t="shared" si="75"/>
        <v>11.310855788170652</v>
      </c>
      <c r="DW45" s="165">
        <f t="shared" si="75"/>
        <v>10.334541919061518</v>
      </c>
      <c r="DX45" s="165">
        <f t="shared" si="75"/>
        <v>9.4425000793077345</v>
      </c>
      <c r="DY45" s="165">
        <f t="shared" si="75"/>
        <v>0.86274561994154908</v>
      </c>
      <c r="DZ45" s="165">
        <f t="shared" si="75"/>
        <v>0.78827640823583411</v>
      </c>
    </row>
    <row r="46" spans="1:130" x14ac:dyDescent="0.2">
      <c r="B46" s="110">
        <v>0.75</v>
      </c>
      <c r="C46" s="252">
        <v>0.75</v>
      </c>
      <c r="D46" s="379" t="s">
        <v>358</v>
      </c>
      <c r="AA46" s="376" t="s">
        <v>217</v>
      </c>
      <c r="AF46" s="379"/>
      <c r="AG46" s="379"/>
      <c r="AJ46" s="170">
        <v>0.95</v>
      </c>
      <c r="AK46" s="171">
        <v>0.95</v>
      </c>
      <c r="AL46" t="s">
        <v>190</v>
      </c>
      <c r="AY46" s="37"/>
      <c r="AZ46" s="37"/>
      <c r="BC46"/>
      <c r="BD46"/>
      <c r="BE46" s="55"/>
      <c r="BG46" s="14"/>
      <c r="BJ46" s="44"/>
      <c r="BK46" s="54"/>
      <c r="BL46" s="54"/>
      <c r="BM46" s="54"/>
      <c r="BN46" s="54"/>
      <c r="BO46" s="54"/>
      <c r="BP46" s="54"/>
      <c r="BQ46" s="54"/>
      <c r="BS46" s="20"/>
      <c r="CG46" s="31"/>
      <c r="DB46" s="275">
        <f t="shared" si="73"/>
        <v>40739</v>
      </c>
      <c r="DP46" s="163">
        <f>DB17</f>
        <v>261.37317207594504</v>
      </c>
      <c r="DQ46" s="17">
        <f t="shared" si="74"/>
        <v>238.81234576095716</v>
      </c>
      <c r="DR46" s="17">
        <f t="shared" si="74"/>
        <v>218.198891779451</v>
      </c>
      <c r="DS46" s="17">
        <f t="shared" si="74"/>
        <v>19.936471970103785</v>
      </c>
      <c r="DT46" s="17">
        <f t="shared" si="74"/>
        <v>18.215624807869226</v>
      </c>
      <c r="DU46" s="165">
        <f t="shared" si="75"/>
        <v>16.643315208359475</v>
      </c>
      <c r="DV46" s="165">
        <f t="shared" si="75"/>
        <v>15.206721923979499</v>
      </c>
      <c r="DW46" s="165">
        <f t="shared" si="75"/>
        <v>13.89413039278924</v>
      </c>
      <c r="DX46" s="165">
        <f t="shared" si="75"/>
        <v>12.694837213233567</v>
      </c>
      <c r="DY46" s="165">
        <f t="shared" si="75"/>
        <v>1.1599062864282448</v>
      </c>
      <c r="DZ46" s="165">
        <f t="shared" si="75"/>
        <v>1.0597871959266127</v>
      </c>
    </row>
    <row r="47" spans="1:130" x14ac:dyDescent="0.2">
      <c r="B47" s="9">
        <v>5</v>
      </c>
      <c r="C47" s="253">
        <v>5</v>
      </c>
      <c r="D47" t="s">
        <v>202</v>
      </c>
      <c r="J47" s="7"/>
      <c r="T47" s="12"/>
      <c r="Z47" s="376" t="s">
        <v>217</v>
      </c>
      <c r="AY47" s="37"/>
      <c r="AZ47" s="37"/>
      <c r="BC47"/>
      <c r="BD47"/>
      <c r="BE47" s="55"/>
      <c r="BG47" s="14"/>
      <c r="CG47" s="31"/>
      <c r="DB47" s="275">
        <f t="shared" si="73"/>
        <v>40756</v>
      </c>
      <c r="DQ47" s="163">
        <f>DB18</f>
        <v>323.08060037413242</v>
      </c>
      <c r="DR47" s="17">
        <f t="shared" si="74"/>
        <v>295.19340272147923</v>
      </c>
      <c r="DS47" s="17">
        <f t="shared" si="74"/>
        <v>26.971333131539595</v>
      </c>
      <c r="DT47" s="17">
        <f t="shared" si="74"/>
        <v>24.643261136118667</v>
      </c>
      <c r="DU47" s="17">
        <f t="shared" si="75"/>
        <v>22.516140246430265</v>
      </c>
      <c r="DV47" s="165">
        <f t="shared" si="75"/>
        <v>20.572625059508091</v>
      </c>
      <c r="DW47" s="165">
        <f t="shared" si="75"/>
        <v>18.796867367452119</v>
      </c>
      <c r="DX47" s="165">
        <f t="shared" si="75"/>
        <v>17.174386924739615</v>
      </c>
      <c r="DY47" s="165">
        <f t="shared" si="75"/>
        <v>1.5691953370453995</v>
      </c>
      <c r="DZ47" s="165">
        <f t="shared" si="75"/>
        <v>1.4337478342577623</v>
      </c>
    </row>
    <row r="48" spans="1:130" ht="12.95" customHeight="1" x14ac:dyDescent="0.25">
      <c r="B48" s="9">
        <v>5</v>
      </c>
      <c r="C48" s="329">
        <v>5</v>
      </c>
      <c r="D48" s="387" t="s">
        <v>263</v>
      </c>
      <c r="E48" s="236"/>
      <c r="F48" s="12"/>
      <c r="G48" s="12"/>
      <c r="H48" s="12"/>
      <c r="I48" s="12"/>
      <c r="J48" s="12"/>
      <c r="K48" s="12"/>
      <c r="L48" s="12"/>
      <c r="M48" s="12"/>
      <c r="N48" s="12"/>
      <c r="O48" s="12"/>
      <c r="P48" s="12"/>
      <c r="Q48" s="12"/>
      <c r="R48" s="12"/>
      <c r="S48" s="12"/>
      <c r="T48" s="12"/>
      <c r="X48" s="280" t="s">
        <v>217</v>
      </c>
      <c r="AJ48" s="6" t="s">
        <v>15</v>
      </c>
      <c r="AR48"/>
      <c r="AS48"/>
      <c r="AT48"/>
      <c r="AU48"/>
      <c r="AV48"/>
      <c r="AY48" s="37"/>
      <c r="AZ48" s="37"/>
      <c r="BC48"/>
      <c r="BD48"/>
      <c r="BE48" s="55"/>
      <c r="BG48" s="144"/>
      <c r="CG48" s="31"/>
      <c r="DB48" s="275">
        <f t="shared" si="73"/>
        <v>40770</v>
      </c>
      <c r="DR48" s="163">
        <f>DB19</f>
        <v>460.85730029711169</v>
      </c>
      <c r="DS48" s="17">
        <f t="shared" si="74"/>
        <v>42.107769543018101</v>
      </c>
      <c r="DT48" s="17">
        <f t="shared" si="74"/>
        <v>38.473172818242013</v>
      </c>
      <c r="DU48" s="17">
        <f t="shared" si="75"/>
        <v>35.152301885525681</v>
      </c>
      <c r="DV48" s="17">
        <f t="shared" si="75"/>
        <v>32.118077021847128</v>
      </c>
      <c r="DW48" s="165">
        <f t="shared" si="75"/>
        <v>29.345755932019468</v>
      </c>
      <c r="DX48" s="165">
        <f t="shared" si="75"/>
        <v>26.812731990021529</v>
      </c>
      <c r="DY48" s="165">
        <f t="shared" si="75"/>
        <v>2.4498349895437501</v>
      </c>
      <c r="DZ48" s="165">
        <f t="shared" si="75"/>
        <v>2.2383737241793873</v>
      </c>
    </row>
    <row r="49" spans="2:130" x14ac:dyDescent="0.2">
      <c r="B49" s="332">
        <v>0.05</v>
      </c>
      <c r="C49" s="349">
        <v>0.5</v>
      </c>
      <c r="D49" s="379" t="s">
        <v>325</v>
      </c>
      <c r="AJ49" s="258" t="s">
        <v>16</v>
      </c>
      <c r="AK49" t="s">
        <v>117</v>
      </c>
      <c r="AR49"/>
      <c r="AS49"/>
      <c r="AT49"/>
      <c r="AU49"/>
      <c r="AV49" s="42"/>
      <c r="BC49"/>
      <c r="BD49"/>
      <c r="BE49" s="55"/>
      <c r="BG49" s="14"/>
      <c r="CG49" s="31"/>
      <c r="CJ49" s="95"/>
      <c r="CK49" s="95"/>
      <c r="DB49" s="275">
        <f t="shared" si="73"/>
        <v>40787</v>
      </c>
      <c r="DS49" s="163">
        <f>DB20</f>
        <v>56.151798658150369</v>
      </c>
      <c r="DT49" s="17">
        <f t="shared" ref="DT49:DZ50" si="76">DS49*(1-DS$32)*EXP($AQ$38*15)</f>
        <v>51.304970015642994</v>
      </c>
      <c r="DU49" s="17">
        <f t="shared" si="76"/>
        <v>46.87650282283461</v>
      </c>
      <c r="DV49" s="17">
        <f t="shared" si="76"/>
        <v>42.83028556939469</v>
      </c>
      <c r="DW49" s="165">
        <f t="shared" si="76"/>
        <v>39.133323765404803</v>
      </c>
      <c r="DX49" s="165">
        <f t="shared" si="76"/>
        <v>35.755470890960005</v>
      </c>
      <c r="DY49" s="165">
        <f t="shared" si="76"/>
        <v>3.2669182569268109</v>
      </c>
      <c r="DZ49" s="165">
        <f t="shared" si="76"/>
        <v>2.9849291958675028</v>
      </c>
    </row>
    <row r="50" spans="2:130" x14ac:dyDescent="0.2">
      <c r="D50" s="408"/>
      <c r="M50" s="258"/>
      <c r="N50" s="258"/>
      <c r="AR50"/>
      <c r="AS50"/>
      <c r="AT50"/>
      <c r="AU50" s="18"/>
      <c r="AV50" s="18"/>
      <c r="BC50"/>
      <c r="BD50"/>
      <c r="BE50" s="55"/>
      <c r="BG50" s="14"/>
      <c r="CG50" s="31"/>
      <c r="CJ50" s="95"/>
      <c r="CK50" s="95"/>
      <c r="DB50" s="275">
        <f t="shared" si="73"/>
        <v>40801</v>
      </c>
      <c r="DT50" s="163">
        <f>DB21</f>
        <v>176.16642523257499</v>
      </c>
      <c r="DU50" s="17">
        <f t="shared" si="76"/>
        <v>160.96034998530519</v>
      </c>
      <c r="DV50" s="17">
        <f t="shared" si="76"/>
        <v>147.06681045033338</v>
      </c>
      <c r="DW50" s="17">
        <f t="shared" si="76"/>
        <v>134.37251309411832</v>
      </c>
      <c r="DX50" s="165">
        <f t="shared" si="76"/>
        <v>122.77394348826763</v>
      </c>
      <c r="DY50" s="165">
        <f t="shared" si="76"/>
        <v>11.217652221107501</v>
      </c>
      <c r="DZ50" s="165">
        <f t="shared" si="76"/>
        <v>10.249383360871114</v>
      </c>
    </row>
    <row r="51" spans="2:130" x14ac:dyDescent="0.2">
      <c r="D51" s="408"/>
      <c r="W51" s="308"/>
      <c r="X51" s="132"/>
      <c r="AJ51" s="6" t="s">
        <v>18</v>
      </c>
      <c r="BC51"/>
      <c r="BD51"/>
      <c r="BE51" s="55"/>
      <c r="BG51" s="14"/>
      <c r="CG51" s="31"/>
      <c r="CH51" s="377"/>
      <c r="CJ51" s="95"/>
      <c r="CK51" s="95"/>
      <c r="DA51" s="377"/>
      <c r="DB51" s="275">
        <f t="shared" si="73"/>
        <v>40817</v>
      </c>
      <c r="DU51" s="163">
        <f>DB22</f>
        <v>321.37957575838777</v>
      </c>
      <c r="DV51" s="17">
        <f>DU51*(1-DU$32)*EXP($AQ$38*15)</f>
        <v>293.63920465494976</v>
      </c>
      <c r="DW51" s="17">
        <f>DV51*(1-DV$32)*EXP($AQ$38*15)</f>
        <v>268.29328623924255</v>
      </c>
      <c r="DX51" s="17">
        <f>DW51*(1-DW$32)*EXP($AQ$38*15)</f>
        <v>245.13513965424366</v>
      </c>
      <c r="DY51" s="165">
        <f>DX51*(1-DX$32)*EXP($AQ$38*15)</f>
        <v>22.397592401816926</v>
      </c>
      <c r="DZ51" s="165">
        <f>DY51*(1-DY$32)*EXP($AQ$38*15)</f>
        <v>20.464309853964384</v>
      </c>
    </row>
    <row r="52" spans="2:130" x14ac:dyDescent="0.2">
      <c r="AK52" s="8"/>
      <c r="AL52" s="8"/>
      <c r="AP52" t="s">
        <v>34</v>
      </c>
      <c r="AQ52" t="s">
        <v>270</v>
      </c>
      <c r="AR52" t="s">
        <v>269</v>
      </c>
      <c r="BC52"/>
      <c r="BD52"/>
      <c r="BE52" s="55"/>
      <c r="BG52" s="14"/>
      <c r="CG52" s="31"/>
      <c r="CJ52" s="95"/>
      <c r="CK52" s="95"/>
      <c r="DA52" s="377"/>
      <c r="DB52" s="275">
        <f t="shared" si="73"/>
        <v>40831</v>
      </c>
      <c r="DV52" s="163">
        <f>DB23</f>
        <v>461.52411250847194</v>
      </c>
      <c r="DW52" s="17">
        <f>DV52*(1-DV$32)*EXP($AQ$38*15)</f>
        <v>421.68695072257481</v>
      </c>
      <c r="DX52" s="17">
        <f>DW52*(1-DW$32)*EXP($AQ$38*15)</f>
        <v>385.28839466960483</v>
      </c>
      <c r="DY52" s="17">
        <f>DX52*(1-DX$32)*EXP($AQ$38*15)</f>
        <v>35.203163582062942</v>
      </c>
      <c r="DZ52" s="165">
        <f>DY52*(1-DY$32)*EXP($AQ$38*15)</f>
        <v>32.164548513021884</v>
      </c>
    </row>
    <row r="53" spans="2:130" x14ac:dyDescent="0.2">
      <c r="F53" s="257"/>
      <c r="G53" s="257"/>
      <c r="H53" s="257"/>
      <c r="Y53" s="238"/>
      <c r="Z53" s="238"/>
      <c r="AA53" s="238"/>
      <c r="AB53" s="238"/>
      <c r="AF53" s="7"/>
      <c r="AG53" s="60"/>
      <c r="AH53" s="5"/>
      <c r="AJ53" t="s">
        <v>20</v>
      </c>
      <c r="AK53" s="44">
        <f>AK29</f>
        <v>1.3774999999999999</v>
      </c>
      <c r="AL53" t="s">
        <v>21</v>
      </c>
      <c r="AP53">
        <v>0</v>
      </c>
      <c r="AQ53" s="379">
        <f>AP53+12</f>
        <v>12</v>
      </c>
      <c r="AR53" s="29">
        <f>$AK$57/AQ53</f>
        <v>2.6536295761255119E-2</v>
      </c>
      <c r="BC53"/>
      <c r="BD53"/>
      <c r="BE53" s="55"/>
      <c r="BG53" s="14"/>
      <c r="CG53" s="31"/>
      <c r="CH53" s="377"/>
      <c r="CJ53" s="95"/>
      <c r="CK53" s="95"/>
      <c r="DA53" s="377"/>
      <c r="DB53" s="275">
        <f t="shared" si="73"/>
        <v>40848</v>
      </c>
      <c r="DW53" s="163">
        <f>DB24</f>
        <v>599.59900177702355</v>
      </c>
      <c r="DX53" s="17">
        <f>DW53*(1-DW$32)*EXP($AQ$38*15)</f>
        <v>547.84369410603972</v>
      </c>
      <c r="DY53" s="17">
        <f>DX53*(1-DX$32)*EXP($AQ$38*15)</f>
        <v>50.055572521343869</v>
      </c>
      <c r="DZ53" s="17">
        <f>DY53*(1-DY$32)*EXP($AQ$38*15)</f>
        <v>45.734948989931134</v>
      </c>
    </row>
    <row r="54" spans="2:130" ht="12.95" customHeight="1" x14ac:dyDescent="0.2">
      <c r="AJ54" t="s">
        <v>23</v>
      </c>
      <c r="AK54" s="45">
        <f>AK30</f>
        <v>0.7</v>
      </c>
      <c r="AL54" t="s">
        <v>24</v>
      </c>
      <c r="AP54">
        <v>1</v>
      </c>
      <c r="AQ54" s="379">
        <f t="shared" ref="AQ54:AQ68" si="77">AP54+12</f>
        <v>13</v>
      </c>
      <c r="AR54" s="29">
        <f t="shared" ref="AR54:AR68" si="78">$AK$57/AQ54</f>
        <v>2.4495042241158574E-2</v>
      </c>
      <c r="BC54"/>
      <c r="BD54"/>
      <c r="BE54" s="55"/>
      <c r="BG54" s="14"/>
      <c r="CG54" s="31"/>
      <c r="CJ54"/>
      <c r="CK54"/>
      <c r="DB54" s="275">
        <f t="shared" si="73"/>
        <v>40862</v>
      </c>
      <c r="DX54" s="163">
        <f>DB25</f>
        <v>525.95273157797146</v>
      </c>
      <c r="DY54" s="17">
        <f>DX54*(1-DX$32)*EXP($AQ$38*15)</f>
        <v>48.055431469845985</v>
      </c>
      <c r="DZ54" s="17">
        <f>DY54*(1-DY$32)*EXP($AQ$38*15)</f>
        <v>43.907453181668885</v>
      </c>
    </row>
    <row r="55" spans="2:130" ht="12.95" customHeight="1" x14ac:dyDescent="0.2">
      <c r="B55" s="457" t="s">
        <v>148</v>
      </c>
      <c r="C55" s="457"/>
      <c r="D55" s="12" t="s">
        <v>160</v>
      </c>
      <c r="I55" s="6"/>
      <c r="K55" s="6"/>
      <c r="T55" s="380">
        <f>(LN(V21/V11))/(U21-U11)</f>
        <v>9.4741388669757134E-3</v>
      </c>
      <c r="AI55" s="77"/>
      <c r="AJ55" t="s">
        <v>23</v>
      </c>
      <c r="AK55" s="106">
        <v>0.7</v>
      </c>
      <c r="AL55" t="s">
        <v>22</v>
      </c>
      <c r="AP55">
        <v>2</v>
      </c>
      <c r="AQ55" s="379">
        <f t="shared" si="77"/>
        <v>14</v>
      </c>
      <c r="AR55" s="29">
        <f t="shared" si="78"/>
        <v>2.2745396366790103E-2</v>
      </c>
      <c r="BC55"/>
      <c r="BD55"/>
      <c r="BE55" s="55"/>
      <c r="BG55" s="14"/>
      <c r="CG55" s="31"/>
      <c r="DB55" s="275">
        <f t="shared" si="73"/>
        <v>40878</v>
      </c>
      <c r="DY55" s="163">
        <f>DB26</f>
        <v>53.346248654239631</v>
      </c>
      <c r="DZ55" s="17">
        <f>DY55*(1-DY$32)*EXP($AQ$38*15)</f>
        <v>48.741585364256856</v>
      </c>
    </row>
    <row r="56" spans="2:130" x14ac:dyDescent="0.2">
      <c r="B56" s="6" t="s">
        <v>161</v>
      </c>
      <c r="F56" s="257"/>
      <c r="AE56" s="257"/>
      <c r="AF56" s="257"/>
      <c r="AG56" s="257"/>
      <c r="AH56" s="257"/>
      <c r="AI56" s="77"/>
      <c r="AJ56" t="s">
        <v>105</v>
      </c>
      <c r="AK56" s="82">
        <f>(1+($AK$53*$AK$54))*$AK$55</f>
        <v>1.3749749999999998</v>
      </c>
      <c r="AL56" s="82"/>
      <c r="AP56">
        <v>3</v>
      </c>
      <c r="AQ56" s="379">
        <f t="shared" si="77"/>
        <v>15</v>
      </c>
      <c r="AR56" s="29">
        <f t="shared" si="78"/>
        <v>2.1229036609004097E-2</v>
      </c>
      <c r="BC56"/>
      <c r="BD56"/>
      <c r="BE56" s="55"/>
      <c r="CG56" s="31"/>
      <c r="DB56" s="275">
        <f t="shared" si="73"/>
        <v>40892</v>
      </c>
      <c r="DH56" s="26"/>
      <c r="DZ56" s="163">
        <f>DB27</f>
        <v>0</v>
      </c>
    </row>
    <row r="57" spans="2:130" ht="12.95" customHeight="1" x14ac:dyDescent="0.2">
      <c r="B57" t="s">
        <v>156</v>
      </c>
      <c r="I57" s="16"/>
      <c r="AE57" s="257"/>
      <c r="AF57" s="257"/>
      <c r="AG57" s="257"/>
      <c r="AH57" s="257"/>
      <c r="AJ57" s="258" t="s">
        <v>26</v>
      </c>
      <c r="AK57" s="7">
        <f>LN(AK56)</f>
        <v>0.31843554913506145</v>
      </c>
      <c r="AP57">
        <v>4</v>
      </c>
      <c r="AQ57" s="379">
        <f t="shared" si="77"/>
        <v>16</v>
      </c>
      <c r="AR57" s="29">
        <f t="shared" si="78"/>
        <v>1.990222182094134E-2</v>
      </c>
      <c r="BC57"/>
      <c r="BD57"/>
      <c r="BE57" s="55"/>
      <c r="CG57" s="31"/>
      <c r="DB57" s="166" t="s">
        <v>184</v>
      </c>
      <c r="DC57" s="166"/>
      <c r="DD57" s="166"/>
      <c r="DE57" s="166"/>
      <c r="DF57" s="166"/>
      <c r="DG57" s="166"/>
      <c r="DH57" s="167">
        <f>SUM(DH33)</f>
        <v>63.67644803087736</v>
      </c>
      <c r="DI57" s="167">
        <f>SUM(DI33:DI34)</f>
        <v>4.2694976555750728</v>
      </c>
      <c r="DJ57" s="167">
        <f>SUM(DJ33:DJ35)</f>
        <v>7.8769934127943397</v>
      </c>
      <c r="DK57" s="167">
        <f>SUM(DK33:DK36)</f>
        <v>13.756766571922073</v>
      </c>
      <c r="DL57" s="167">
        <f>SUM(DL33:DL37)</f>
        <v>22.467255815816674</v>
      </c>
      <c r="DM57" s="167">
        <f>SUM(DM33:DM38)</f>
        <v>37.681855722968166</v>
      </c>
      <c r="DN57" s="167">
        <f>SUM(DN33:DN39)</f>
        <v>66.382929702530078</v>
      </c>
      <c r="DO57" s="167">
        <f>SUM(DO33:DO40)</f>
        <v>101.87794643293674</v>
      </c>
      <c r="DP57" s="167">
        <f>SUM(DP33:DP41)</f>
        <v>77.979103766113298</v>
      </c>
      <c r="DQ57" s="167">
        <f>SUM(DQ33:DQ42)</f>
        <v>119.9278812841292</v>
      </c>
      <c r="DR57" s="167">
        <f>SUM(DR33:DR43)</f>
        <v>185.53536348976522</v>
      </c>
      <c r="DS57" s="167">
        <f>SUM(DS33:DS44)</f>
        <v>27.920172598508408</v>
      </c>
      <c r="DT57" s="167">
        <f>SUM(DT33:DT45)</f>
        <v>39.059096821483394</v>
      </c>
      <c r="DU57" s="167">
        <f>SUM(DU33:DU46)</f>
        <v>52.330966167932694</v>
      </c>
      <c r="DV57" s="167">
        <f>SUM(DV33:DV47)</f>
        <v>68.38656360278776</v>
      </c>
      <c r="DW57" s="167">
        <f>SUM(DW33:DW48)</f>
        <v>91.829428387000092</v>
      </c>
      <c r="DX57" s="167">
        <f>SUM(DX33:DX49)</f>
        <v>119.65850129308291</v>
      </c>
      <c r="DY57" s="167">
        <f>SUM(DY33:DY50)</f>
        <v>22.150651639937898</v>
      </c>
      <c r="DZ57" s="167">
        <f>SUM(DZ33:DZ51)</f>
        <v>40.702994016738117</v>
      </c>
    </row>
    <row r="58" spans="2:130" x14ac:dyDescent="0.2">
      <c r="B58" t="s">
        <v>149</v>
      </c>
      <c r="AJ58" s="258" t="s">
        <v>27</v>
      </c>
      <c r="AK58" s="6">
        <f>AK57/12</f>
        <v>2.6536295761255119E-2</v>
      </c>
      <c r="AP58">
        <v>5</v>
      </c>
      <c r="AQ58" s="379">
        <f t="shared" si="77"/>
        <v>17</v>
      </c>
      <c r="AR58" s="79">
        <f t="shared" si="78"/>
        <v>1.8731502890297732E-2</v>
      </c>
      <c r="AS58" s="486" t="s">
        <v>271</v>
      </c>
      <c r="BC58"/>
      <c r="BD58"/>
      <c r="BE58" s="55"/>
      <c r="DB58" t="s">
        <v>185</v>
      </c>
      <c r="DC58" s="17">
        <f t="shared" ref="DC58:DZ58" si="79">SUM(DC33:DC56)</f>
        <v>100</v>
      </c>
      <c r="DD58" s="17">
        <f t="shared" si="79"/>
        <v>134.09974292236734</v>
      </c>
      <c r="DE58" s="17">
        <f t="shared" si="79"/>
        <v>247.40680915413805</v>
      </c>
      <c r="DF58" s="17">
        <f t="shared" si="79"/>
        <v>432.08335255293343</v>
      </c>
      <c r="DG58" s="17">
        <f t="shared" si="79"/>
        <v>705.66925482156466</v>
      </c>
      <c r="DH58" s="17">
        <f t="shared" si="79"/>
        <v>1183.5413842397686</v>
      </c>
      <c r="DI58" s="17">
        <f t="shared" si="79"/>
        <v>104.25036533184189</v>
      </c>
      <c r="DJ58" s="17">
        <f t="shared" si="79"/>
        <v>159.99313652598067</v>
      </c>
      <c r="DK58" s="17">
        <f t="shared" si="79"/>
        <v>244.92290690680625</v>
      </c>
      <c r="DL58" s="17">
        <f t="shared" si="79"/>
        <v>376.67892915752759</v>
      </c>
      <c r="DM58" s="17">
        <f t="shared" si="79"/>
        <v>582.74407328686812</v>
      </c>
      <c r="DN58" s="17">
        <f t="shared" si="79"/>
        <v>876.93875716715979</v>
      </c>
      <c r="DO58" s="17">
        <f t="shared" si="79"/>
        <v>1226.7988566995211</v>
      </c>
      <c r="DP58" s="17">
        <f t="shared" si="79"/>
        <v>821.82608776414304</v>
      </c>
      <c r="DQ58" s="17">
        <f t="shared" si="79"/>
        <v>1073.9695086262732</v>
      </c>
      <c r="DR58" s="17">
        <f t="shared" si="79"/>
        <v>1442.1254832315881</v>
      </c>
      <c r="DS58" s="17">
        <f t="shared" si="79"/>
        <v>187.91641963926645</v>
      </c>
      <c r="DT58" s="17">
        <f t="shared" si="79"/>
        <v>347.86255083193129</v>
      </c>
      <c r="DU58" s="17">
        <f t="shared" si="79"/>
        <v>639.21583686641623</v>
      </c>
      <c r="DV58" s="17">
        <f t="shared" si="79"/>
        <v>1045.5650538077846</v>
      </c>
      <c r="DW58" s="17">
        <f t="shared" si="79"/>
        <v>1554.9145039853643</v>
      </c>
      <c r="DX58" s="17">
        <f t="shared" si="79"/>
        <v>1946.6524047892103</v>
      </c>
      <c r="DY58" s="17">
        <f t="shared" si="79"/>
        <v>231.20866026924728</v>
      </c>
      <c r="DZ58" s="17">
        <f t="shared" si="79"/>
        <v>211.25153006561689</v>
      </c>
    </row>
    <row r="59" spans="2:130" x14ac:dyDescent="0.2">
      <c r="I59" s="86"/>
      <c r="J59" s="86"/>
      <c r="K59" s="86"/>
      <c r="AJ59" s="258" t="s">
        <v>106</v>
      </c>
      <c r="AK59">
        <f>AK57/17</f>
        <v>1.8731502890297732E-2</v>
      </c>
      <c r="AL59" s="12"/>
      <c r="AP59">
        <v>6</v>
      </c>
      <c r="AQ59" s="379">
        <f t="shared" si="77"/>
        <v>18</v>
      </c>
      <c r="AR59" s="79">
        <f t="shared" si="78"/>
        <v>1.7690863840836749E-2</v>
      </c>
      <c r="AS59" s="486"/>
      <c r="BC59"/>
      <c r="BD59"/>
      <c r="BE59" s="55"/>
      <c r="DB59" t="s">
        <v>186</v>
      </c>
      <c r="DC59" s="37">
        <f t="shared" ref="DC59:DZ59" si="80">IF(DC58=0,0,IF(DC57/DC58=1,0.99,DC57/DC58))</f>
        <v>0</v>
      </c>
      <c r="DD59" s="37">
        <f t="shared" si="80"/>
        <v>0</v>
      </c>
      <c r="DE59" s="37">
        <f t="shared" si="80"/>
        <v>0</v>
      </c>
      <c r="DF59" s="37">
        <f t="shared" si="80"/>
        <v>0</v>
      </c>
      <c r="DG59" s="37">
        <f t="shared" si="80"/>
        <v>0</v>
      </c>
      <c r="DH59" s="37">
        <f t="shared" si="80"/>
        <v>5.3801623567036522E-2</v>
      </c>
      <c r="DI59" s="37">
        <f t="shared" si="80"/>
        <v>4.0954270442935432E-2</v>
      </c>
      <c r="DJ59" s="37">
        <f t="shared" si="80"/>
        <v>4.9233320777577388E-2</v>
      </c>
      <c r="DK59" s="37">
        <f t="shared" si="80"/>
        <v>5.6167741701500205E-2</v>
      </c>
      <c r="DL59" s="37">
        <f t="shared" si="80"/>
        <v>5.9645640031064338E-2</v>
      </c>
      <c r="DM59" s="37">
        <f t="shared" si="80"/>
        <v>6.4662786719442922E-2</v>
      </c>
      <c r="DN59" s="37">
        <f t="shared" si="80"/>
        <v>7.5698478553932053E-2</v>
      </c>
      <c r="DO59" s="37">
        <f t="shared" si="80"/>
        <v>8.3043724630638138E-2</v>
      </c>
      <c r="DP59" s="37">
        <f t="shared" si="80"/>
        <v>9.4885164789868082E-2</v>
      </c>
      <c r="DQ59" s="37">
        <f t="shared" si="80"/>
        <v>0.11166786423716102</v>
      </c>
      <c r="DR59" s="37">
        <f t="shared" si="80"/>
        <v>0.12865410510187236</v>
      </c>
      <c r="DS59" s="37">
        <f t="shared" si="80"/>
        <v>0.14857761047227985</v>
      </c>
      <c r="DT59" s="37">
        <f t="shared" si="80"/>
        <v>0.1122831323120915</v>
      </c>
      <c r="DU59" s="37">
        <f t="shared" si="80"/>
        <v>8.1867443122922587E-2</v>
      </c>
      <c r="DV59" s="37">
        <f t="shared" si="80"/>
        <v>6.5406321064131384E-2</v>
      </c>
      <c r="DW59" s="37">
        <f t="shared" si="80"/>
        <v>5.9057541846599462E-2</v>
      </c>
      <c r="DX59" s="37">
        <f t="shared" si="80"/>
        <v>6.1468858538224702E-2</v>
      </c>
      <c r="DY59" s="37">
        <f t="shared" si="80"/>
        <v>9.5803728174122041E-2</v>
      </c>
      <c r="DZ59" s="37">
        <f t="shared" si="80"/>
        <v>0.19267549922168778</v>
      </c>
    </row>
    <row r="60" spans="2:130" ht="12.95" customHeight="1" x14ac:dyDescent="0.2">
      <c r="B60" s="388" t="s">
        <v>88</v>
      </c>
      <c r="C60" s="259" t="s">
        <v>150</v>
      </c>
      <c r="R60" s="53" t="s">
        <v>33</v>
      </c>
      <c r="S60" s="53"/>
      <c r="T60" s="258"/>
      <c r="V60" s="258"/>
      <c r="AP60">
        <v>7</v>
      </c>
      <c r="AQ60" s="379">
        <f t="shared" si="77"/>
        <v>19</v>
      </c>
      <c r="AR60" s="79">
        <f t="shared" si="78"/>
        <v>1.6759765743950602E-2</v>
      </c>
      <c r="AS60" s="486"/>
      <c r="DB60" s="20"/>
    </row>
    <row r="61" spans="2:130" x14ac:dyDescent="0.2">
      <c r="B61" s="29">
        <v>2.4E-2</v>
      </c>
      <c r="C61" s="18">
        <f>(LN(2))/B61</f>
        <v>28.881132523331054</v>
      </c>
      <c r="I61" s="257"/>
      <c r="S61" s="258" t="s">
        <v>35</v>
      </c>
      <c r="T61" s="258" t="s">
        <v>274</v>
      </c>
      <c r="U61" s="67" t="s">
        <v>17</v>
      </c>
      <c r="V61" s="258"/>
      <c r="AJ61" s="6" t="s">
        <v>19</v>
      </c>
      <c r="AM61" s="387"/>
      <c r="AP61">
        <v>8</v>
      </c>
      <c r="AQ61" s="379">
        <f t="shared" si="77"/>
        <v>20</v>
      </c>
      <c r="AR61" s="79">
        <f t="shared" si="78"/>
        <v>1.5921777456753071E-2</v>
      </c>
      <c r="AS61" s="486"/>
    </row>
    <row r="62" spans="2:130" x14ac:dyDescent="0.2">
      <c r="B62" s="29">
        <f t="shared" ref="B62:B83" si="81">B61-0.001</f>
        <v>2.3E-2</v>
      </c>
      <c r="C62" s="18">
        <f t="shared" ref="C62:C83" si="82">(LN(2))/B62</f>
        <v>30.136833937388925</v>
      </c>
      <c r="AI62" s="487" t="s">
        <v>112</v>
      </c>
      <c r="AJ62" s="82" t="s">
        <v>20</v>
      </c>
      <c r="AK62" s="44">
        <f>AK31</f>
        <v>3.5</v>
      </c>
      <c r="AL62" s="12" t="s">
        <v>21</v>
      </c>
      <c r="AM62" s="387"/>
      <c r="AP62">
        <v>9</v>
      </c>
      <c r="AQ62" s="379">
        <f t="shared" si="77"/>
        <v>21</v>
      </c>
      <c r="AR62" s="79">
        <f t="shared" si="78"/>
        <v>1.516359757786007E-2</v>
      </c>
      <c r="AS62" s="486"/>
    </row>
    <row r="63" spans="2:130" x14ac:dyDescent="0.2">
      <c r="B63" s="29">
        <f t="shared" si="81"/>
        <v>2.1999999999999999E-2</v>
      </c>
      <c r="C63" s="18">
        <f t="shared" si="82"/>
        <v>31.506690025452059</v>
      </c>
      <c r="S63" s="258"/>
      <c r="U63" s="36"/>
      <c r="AI63" s="487"/>
      <c r="AJ63" s="82" t="s">
        <v>23</v>
      </c>
      <c r="AK63" s="46">
        <f>AK32</f>
        <v>0.7</v>
      </c>
      <c r="AL63" t="s">
        <v>25</v>
      </c>
      <c r="AM63" s="48"/>
      <c r="AP63">
        <v>10</v>
      </c>
      <c r="AQ63" s="379">
        <f t="shared" si="77"/>
        <v>22</v>
      </c>
      <c r="AR63" s="79">
        <f t="shared" si="78"/>
        <v>1.4474343142502793E-2</v>
      </c>
      <c r="AS63" s="486"/>
    </row>
    <row r="64" spans="2:130" x14ac:dyDescent="0.2">
      <c r="B64" s="29">
        <f t="shared" si="81"/>
        <v>2.0999999999999998E-2</v>
      </c>
      <c r="C64" s="18">
        <f t="shared" si="82"/>
        <v>33.007008598092639</v>
      </c>
      <c r="P64" s="68"/>
      <c r="Q64" s="68"/>
      <c r="S64" s="101" t="s">
        <v>273</v>
      </c>
      <c r="T64">
        <v>1993</v>
      </c>
      <c r="U64" s="34">
        <v>3.0571428571428572E-2</v>
      </c>
      <c r="AI64" s="487"/>
      <c r="AJ64" s="82" t="s">
        <v>107</v>
      </c>
      <c r="AK64" s="44">
        <v>0.7</v>
      </c>
      <c r="AL64" t="s">
        <v>22</v>
      </c>
      <c r="AP64">
        <v>11</v>
      </c>
      <c r="AQ64" s="379">
        <f t="shared" si="77"/>
        <v>23</v>
      </c>
      <c r="AR64" s="79">
        <f t="shared" si="78"/>
        <v>1.3845023875437455E-2</v>
      </c>
      <c r="AS64" s="486"/>
    </row>
    <row r="65" spans="2:115" x14ac:dyDescent="0.2">
      <c r="B65" s="29">
        <f t="shared" si="81"/>
        <v>1.9999999999999997E-2</v>
      </c>
      <c r="C65" s="18">
        <f t="shared" si="82"/>
        <v>34.657359027997266</v>
      </c>
      <c r="P65" s="145"/>
      <c r="Q65" s="145"/>
      <c r="S65" s="101" t="s">
        <v>266</v>
      </c>
      <c r="T65">
        <v>2007</v>
      </c>
      <c r="U65" s="34">
        <v>2.7285714285714285E-2</v>
      </c>
      <c r="AJ65" t="s">
        <v>105</v>
      </c>
      <c r="AK65">
        <f>(1+(AK62*AK63))*AK64</f>
        <v>2.4149999999999996</v>
      </c>
      <c r="AP65">
        <v>12</v>
      </c>
      <c r="AQ65" s="379">
        <f t="shared" si="77"/>
        <v>24</v>
      </c>
      <c r="AR65" s="79">
        <f t="shared" si="78"/>
        <v>1.326814788062756E-2</v>
      </c>
      <c r="AS65" s="486"/>
    </row>
    <row r="66" spans="2:115" x14ac:dyDescent="0.2">
      <c r="B66" s="29">
        <f t="shared" si="81"/>
        <v>1.8999999999999996E-2</v>
      </c>
      <c r="C66" s="18">
        <f t="shared" si="82"/>
        <v>36.481430555786602</v>
      </c>
      <c r="M66" s="291"/>
      <c r="N66" s="291"/>
      <c r="O66" s="291"/>
      <c r="P66" s="292"/>
      <c r="Q66" s="292"/>
      <c r="R66" s="291"/>
      <c r="S66" s="293" t="s">
        <v>37</v>
      </c>
      <c r="U66" s="36">
        <v>2.3E-2</v>
      </c>
      <c r="AJ66" s="258" t="s">
        <v>26</v>
      </c>
      <c r="AK66">
        <f>LN(AK65)</f>
        <v>0.88169928710453582</v>
      </c>
      <c r="AP66">
        <v>13</v>
      </c>
      <c r="AQ66" s="379">
        <f t="shared" si="77"/>
        <v>25</v>
      </c>
      <c r="AR66" s="79">
        <f t="shared" si="78"/>
        <v>1.2737421965402458E-2</v>
      </c>
      <c r="AS66" s="486"/>
    </row>
    <row r="67" spans="2:115" x14ac:dyDescent="0.2">
      <c r="B67" s="29">
        <f t="shared" si="81"/>
        <v>1.7999999999999995E-2</v>
      </c>
      <c r="C67" s="18">
        <f t="shared" si="82"/>
        <v>38.508176697774751</v>
      </c>
      <c r="P67" s="145"/>
      <c r="Q67" s="145"/>
      <c r="S67" s="101" t="s">
        <v>287</v>
      </c>
      <c r="T67">
        <v>1999</v>
      </c>
      <c r="U67" s="34">
        <v>2.2936022002005126E-2</v>
      </c>
      <c r="AJ67" s="258" t="s">
        <v>27</v>
      </c>
      <c r="AK67" s="6">
        <f>AK66/15</f>
        <v>5.8779952473635724E-2</v>
      </c>
      <c r="AP67">
        <v>14</v>
      </c>
      <c r="AQ67" s="379">
        <f t="shared" si="77"/>
        <v>26</v>
      </c>
      <c r="AR67" s="79">
        <f t="shared" si="78"/>
        <v>1.2247521120579287E-2</v>
      </c>
      <c r="AS67" s="486"/>
      <c r="AY67" s="32"/>
      <c r="AZ67" s="32"/>
    </row>
    <row r="68" spans="2:115" ht="12.75" customHeight="1" x14ac:dyDescent="0.2">
      <c r="B68" s="29">
        <f t="shared" si="81"/>
        <v>1.6999999999999994E-2</v>
      </c>
      <c r="C68" s="18">
        <f t="shared" si="82"/>
        <v>40.773363562349736</v>
      </c>
      <c r="Q68" s="60"/>
      <c r="R68" s="60"/>
      <c r="S68" s="101" t="s">
        <v>285</v>
      </c>
      <c r="T68">
        <v>2002</v>
      </c>
      <c r="U68" s="34">
        <v>2.2714285714285715E-2</v>
      </c>
      <c r="AJ68" s="258"/>
      <c r="AP68">
        <v>15</v>
      </c>
      <c r="AQ68" s="379">
        <f t="shared" si="77"/>
        <v>27</v>
      </c>
      <c r="AR68" s="79">
        <f t="shared" si="78"/>
        <v>1.1793909227224498E-2</v>
      </c>
      <c r="AS68" s="486"/>
      <c r="AT68"/>
      <c r="AU68"/>
      <c r="AV68"/>
      <c r="AY68" s="32"/>
      <c r="AZ68" s="32"/>
    </row>
    <row r="69" spans="2:115" ht="12.75" customHeight="1" x14ac:dyDescent="0.2">
      <c r="B69" s="29">
        <f t="shared" si="81"/>
        <v>1.5999999999999993E-2</v>
      </c>
      <c r="C69" s="18">
        <f t="shared" si="82"/>
        <v>43.321698784996599</v>
      </c>
      <c r="P69" s="60"/>
      <c r="Q69" s="60"/>
      <c r="R69" s="60"/>
      <c r="S69" s="101" t="s">
        <v>275</v>
      </c>
      <c r="T69">
        <v>1994</v>
      </c>
      <c r="U69" s="294">
        <v>2.1428571428571429E-2</v>
      </c>
      <c r="V69" s="488" t="s">
        <v>292</v>
      </c>
      <c r="AY69" s="32"/>
      <c r="AZ69" s="32"/>
    </row>
    <row r="70" spans="2:115" ht="12.75" customHeight="1" x14ac:dyDescent="0.2">
      <c r="B70" s="29">
        <f t="shared" si="81"/>
        <v>1.4999999999999993E-2</v>
      </c>
      <c r="C70" s="18">
        <f t="shared" si="82"/>
        <v>46.209812037329712</v>
      </c>
      <c r="P70" s="60"/>
      <c r="Q70" s="60"/>
      <c r="R70" s="60"/>
      <c r="S70" s="101" t="s">
        <v>279</v>
      </c>
      <c r="T70" s="20">
        <v>1997</v>
      </c>
      <c r="U70" s="295">
        <v>2.1428571428571429E-2</v>
      </c>
      <c r="V70" s="488"/>
      <c r="AJ70" s="49" t="s">
        <v>247</v>
      </c>
      <c r="AK70" s="49"/>
      <c r="AL70" s="49"/>
      <c r="AM70" s="49"/>
      <c r="AN70" s="49"/>
      <c r="AO70" s="12"/>
      <c r="AP70" s="12"/>
      <c r="AY70" s="32"/>
      <c r="AZ70" s="32"/>
    </row>
    <row r="71" spans="2:115" ht="12.75" customHeight="1" x14ac:dyDescent="0.2">
      <c r="B71" s="29">
        <f t="shared" si="81"/>
        <v>1.3999999999999992E-2</v>
      </c>
      <c r="C71" s="18">
        <f t="shared" si="82"/>
        <v>49.51051289713898</v>
      </c>
      <c r="Q71" s="160"/>
      <c r="R71" s="160"/>
      <c r="S71" s="258" t="s">
        <v>36</v>
      </c>
      <c r="T71">
        <v>1999</v>
      </c>
      <c r="U71" s="296">
        <v>2.1000000000000001E-2</v>
      </c>
      <c r="V71" s="488"/>
      <c r="AJ71" s="65">
        <v>5.0000000000000001E-3</v>
      </c>
      <c r="AK71" t="s">
        <v>28</v>
      </c>
      <c r="AL71" s="50">
        <f>1-AJ71</f>
        <v>0.995</v>
      </c>
      <c r="AM71" t="s">
        <v>29</v>
      </c>
      <c r="AO71" t="s">
        <v>30</v>
      </c>
      <c r="AY71" s="32"/>
      <c r="AZ71" s="32"/>
      <c r="DK71" s="18"/>
    </row>
    <row r="72" spans="2:115" x14ac:dyDescent="0.2">
      <c r="B72" s="29">
        <f t="shared" si="81"/>
        <v>1.2999999999999991E-2</v>
      </c>
      <c r="C72" s="18">
        <f t="shared" si="82"/>
        <v>53.319013889226596</v>
      </c>
      <c r="P72" s="160"/>
      <c r="Q72" s="160"/>
      <c r="R72" s="160"/>
      <c r="S72" s="101" t="s">
        <v>266</v>
      </c>
      <c r="T72">
        <v>2007</v>
      </c>
      <c r="U72" s="294">
        <v>2.0714285714285713E-2</v>
      </c>
      <c r="V72" s="488"/>
      <c r="AJ72" s="12">
        <f>LN(AL71)</f>
        <v>-5.0125418235442863E-3</v>
      </c>
      <c r="AK72" t="s">
        <v>31</v>
      </c>
      <c r="AY72" s="32"/>
      <c r="AZ72" s="32"/>
    </row>
    <row r="73" spans="2:115" x14ac:dyDescent="0.2">
      <c r="B73" s="29">
        <f t="shared" si="81"/>
        <v>1.199999999999999E-2</v>
      </c>
      <c r="C73" s="18">
        <f t="shared" si="82"/>
        <v>57.762265046662158</v>
      </c>
      <c r="P73" s="160"/>
      <c r="Q73" s="160"/>
      <c r="R73" s="160"/>
      <c r="S73" s="101" t="s">
        <v>278</v>
      </c>
      <c r="T73">
        <v>1996</v>
      </c>
      <c r="U73" s="294">
        <v>1.9857142857142858E-2</v>
      </c>
      <c r="V73" s="488"/>
      <c r="AJ73" s="51">
        <f>100*EXP(AJ72*100)</f>
        <v>60.577043649072792</v>
      </c>
      <c r="AK73" s="52" t="s">
        <v>32</v>
      </c>
      <c r="AL73" s="52"/>
      <c r="AM73" s="52"/>
      <c r="AV73"/>
      <c r="AW73"/>
      <c r="AX73"/>
      <c r="AY73"/>
      <c r="AZ73"/>
      <c r="BA73"/>
    </row>
    <row r="74" spans="2:115" ht="12.75" customHeight="1" x14ac:dyDescent="0.2">
      <c r="B74" s="29">
        <f t="shared" si="81"/>
        <v>1.0999999999999989E-2</v>
      </c>
      <c r="C74" s="18">
        <f t="shared" si="82"/>
        <v>63.013380050904182</v>
      </c>
      <c r="N74" s="22"/>
      <c r="O74" s="22"/>
      <c r="S74" s="101" t="s">
        <v>267</v>
      </c>
      <c r="T74">
        <v>2007</v>
      </c>
      <c r="U74" s="294">
        <v>1.9571428571428573E-2</v>
      </c>
      <c r="V74" s="488"/>
      <c r="AR74" s="489" t="s">
        <v>268</v>
      </c>
      <c r="AS74" s="489"/>
      <c r="AT74" s="489"/>
      <c r="AU74" s="489"/>
      <c r="AV74" s="489"/>
      <c r="AW74" s="489"/>
      <c r="AX74"/>
      <c r="AY74"/>
      <c r="AZ74"/>
      <c r="BA74"/>
    </row>
    <row r="75" spans="2:115" x14ac:dyDescent="0.2">
      <c r="B75" s="29">
        <f t="shared" si="81"/>
        <v>9.9999999999999881E-3</v>
      </c>
      <c r="C75" s="18">
        <f t="shared" si="82"/>
        <v>69.314718055994618</v>
      </c>
      <c r="S75" s="258" t="s">
        <v>291</v>
      </c>
      <c r="T75">
        <v>2016</v>
      </c>
      <c r="U75" s="296">
        <v>1.9E-2</v>
      </c>
      <c r="V75" s="488"/>
      <c r="AJ75" s="49" t="s">
        <v>248</v>
      </c>
      <c r="AR75" s="489"/>
      <c r="AS75" s="489"/>
      <c r="AT75" s="489"/>
      <c r="AU75" s="489"/>
      <c r="AV75" s="489"/>
      <c r="AW75" s="489"/>
    </row>
    <row r="76" spans="2:115" x14ac:dyDescent="0.2">
      <c r="B76" s="29">
        <f t="shared" si="81"/>
        <v>8.9999999999999872E-3</v>
      </c>
      <c r="C76" s="18">
        <f t="shared" si="82"/>
        <v>77.016353395549586</v>
      </c>
      <c r="S76" s="101" t="s">
        <v>276</v>
      </c>
      <c r="T76">
        <v>1995</v>
      </c>
      <c r="U76" s="294">
        <v>1.8714285714285715E-2</v>
      </c>
      <c r="V76" s="488"/>
      <c r="AJ76" s="65">
        <v>0.01</v>
      </c>
      <c r="AK76" t="s">
        <v>28</v>
      </c>
      <c r="AL76" s="50">
        <f>1-AJ76</f>
        <v>0.99</v>
      </c>
      <c r="AM76" t="s">
        <v>29</v>
      </c>
      <c r="AR76" s="489"/>
      <c r="AS76" s="489"/>
      <c r="AT76" s="489"/>
      <c r="AU76" s="489"/>
      <c r="AV76" s="489"/>
      <c r="AW76" s="489"/>
    </row>
    <row r="77" spans="2:115" x14ac:dyDescent="0.2">
      <c r="B77" s="29">
        <f t="shared" si="81"/>
        <v>7.9999999999999863E-3</v>
      </c>
      <c r="C77" s="18">
        <f t="shared" si="82"/>
        <v>86.643397569993311</v>
      </c>
      <c r="S77" s="101" t="s">
        <v>266</v>
      </c>
      <c r="T77">
        <v>2007</v>
      </c>
      <c r="U77" s="294">
        <v>1.7428571428571429E-2</v>
      </c>
      <c r="V77" s="488"/>
      <c r="AJ77" s="12">
        <f>LN(AL76)</f>
        <v>-1.0050335853501451E-2</v>
      </c>
      <c r="AK77" t="s">
        <v>31</v>
      </c>
      <c r="AR77" s="489"/>
      <c r="AS77" s="489"/>
      <c r="AT77" s="489"/>
      <c r="AU77" s="489"/>
      <c r="AV77" s="489"/>
      <c r="AW77" s="489"/>
    </row>
    <row r="78" spans="2:115" ht="12.75" customHeight="1" x14ac:dyDescent="0.2">
      <c r="B78" s="29">
        <f t="shared" si="81"/>
        <v>6.9999999999999863E-3</v>
      </c>
      <c r="C78" s="18">
        <f t="shared" si="82"/>
        <v>99.021025794278088</v>
      </c>
      <c r="S78" s="258" t="s">
        <v>133</v>
      </c>
      <c r="T78">
        <v>2000</v>
      </c>
      <c r="U78" s="296">
        <v>1.7000000000000001E-2</v>
      </c>
      <c r="V78" s="488"/>
      <c r="AJ78" s="282">
        <v>3</v>
      </c>
      <c r="AK78" s="283">
        <v>19</v>
      </c>
      <c r="AL78" t="s">
        <v>249</v>
      </c>
      <c r="AO78">
        <f>AJ78*AK78</f>
        <v>57</v>
      </c>
      <c r="AP78" t="s">
        <v>250</v>
      </c>
      <c r="AR78" s="489"/>
      <c r="AS78" s="489"/>
      <c r="AT78" s="489"/>
      <c r="AU78" s="489"/>
      <c r="AV78" s="489"/>
      <c r="AW78" s="489"/>
      <c r="AX78" s="33"/>
      <c r="AY78" s="33"/>
      <c r="AZ78" s="33"/>
      <c r="BA78" s="33"/>
      <c r="BB78" s="33"/>
      <c r="BC78" s="33"/>
      <c r="BD78" s="33"/>
      <c r="BE78" s="33"/>
      <c r="BF78" s="33"/>
      <c r="BG78" s="88"/>
    </row>
    <row r="79" spans="2:115" x14ac:dyDescent="0.2">
      <c r="B79" s="29">
        <f t="shared" si="81"/>
        <v>5.9999999999999862E-3</v>
      </c>
      <c r="C79" s="18">
        <f t="shared" si="82"/>
        <v>115.52453009332447</v>
      </c>
      <c r="S79" s="101" t="s">
        <v>286</v>
      </c>
      <c r="T79">
        <v>2002</v>
      </c>
      <c r="U79" s="34">
        <v>1.3571428571428571E-2</v>
      </c>
      <c r="AJ79" s="51">
        <f>100*EXP(AJ77*AO78)</f>
        <v>56.390519045238761</v>
      </c>
      <c r="AK79" s="52" t="s">
        <v>251</v>
      </c>
      <c r="AL79" s="52">
        <f>AO78</f>
        <v>57</v>
      </c>
      <c r="AM79" s="52" t="s">
        <v>252</v>
      </c>
      <c r="CJ79" s="35"/>
      <c r="CK79" s="35"/>
      <c r="CL79" s="34"/>
      <c r="CM79" s="34"/>
      <c r="CO79" s="36"/>
      <c r="CP79" s="34"/>
      <c r="DA79" s="21"/>
      <c r="DB79" s="18"/>
    </row>
    <row r="80" spans="2:115" s="20" customFormat="1" ht="12.75" customHeight="1" x14ac:dyDescent="0.2">
      <c r="B80" s="29">
        <f t="shared" si="81"/>
        <v>4.9999999999999862E-3</v>
      </c>
      <c r="C80" s="18">
        <f t="shared" si="82"/>
        <v>138.62943611198943</v>
      </c>
      <c r="M80"/>
      <c r="S80" s="101" t="s">
        <v>277</v>
      </c>
      <c r="T80">
        <v>1995</v>
      </c>
      <c r="U80" s="34">
        <v>1.1428571428571429E-2</v>
      </c>
      <c r="W80" s="309"/>
      <c r="Z80"/>
      <c r="AF80"/>
      <c r="AG80"/>
      <c r="AJ80"/>
      <c r="AK80"/>
      <c r="AL80"/>
      <c r="AM80"/>
      <c r="AN80"/>
      <c r="AR80" s="54" t="s">
        <v>253</v>
      </c>
      <c r="AY80" s="10"/>
      <c r="AZ80" s="10"/>
      <c r="BA80" s="10"/>
      <c r="BH80"/>
      <c r="BI80"/>
      <c r="BJ80"/>
      <c r="BK80"/>
      <c r="BL80"/>
      <c r="BM80"/>
      <c r="BN80"/>
      <c r="BO80"/>
      <c r="BP80"/>
      <c r="BQ80"/>
      <c r="BR80"/>
      <c r="BS80"/>
      <c r="BT80"/>
      <c r="BU80"/>
      <c r="BV80"/>
      <c r="BW80"/>
      <c r="BX80"/>
      <c r="BY80"/>
      <c r="BZ80"/>
      <c r="CA80"/>
      <c r="CB80"/>
      <c r="CC80"/>
      <c r="CD80"/>
      <c r="CE80"/>
      <c r="CF80"/>
      <c r="CG80"/>
      <c r="CH80"/>
      <c r="CI80"/>
      <c r="CJ80"/>
      <c r="CK80"/>
      <c r="CL80"/>
      <c r="CM80"/>
      <c r="CN80"/>
      <c r="CO80" s="39"/>
      <c r="CQ80"/>
      <c r="CR80"/>
      <c r="CS80"/>
      <c r="CT80"/>
      <c r="CU80"/>
      <c r="CV80"/>
      <c r="CW80"/>
      <c r="CX80"/>
      <c r="CY80"/>
      <c r="CZ80"/>
      <c r="DA80" s="40"/>
      <c r="DB80" s="38"/>
    </row>
    <row r="81" spans="2:106" x14ac:dyDescent="0.2">
      <c r="B81" s="29">
        <f t="shared" si="81"/>
        <v>3.9999999999999862E-3</v>
      </c>
      <c r="C81" s="18">
        <f t="shared" si="82"/>
        <v>173.28679513998691</v>
      </c>
      <c r="S81" s="101" t="s">
        <v>288</v>
      </c>
      <c r="T81">
        <v>1999</v>
      </c>
      <c r="U81" s="34">
        <v>1.035681555964402E-2</v>
      </c>
      <c r="AR81" s="387" t="s">
        <v>254</v>
      </c>
      <c r="BB81"/>
      <c r="CJ81"/>
      <c r="CK81"/>
      <c r="DA81" s="41"/>
      <c r="DB81" s="18"/>
    </row>
    <row r="82" spans="2:106" ht="12.75" customHeight="1" x14ac:dyDescent="0.2">
      <c r="B82" s="29">
        <f t="shared" si="81"/>
        <v>2.9999999999999862E-3</v>
      </c>
      <c r="C82" s="18">
        <f t="shared" si="82"/>
        <v>231.04906018664948</v>
      </c>
      <c r="S82" s="258" t="s">
        <v>272</v>
      </c>
      <c r="T82">
        <v>2000</v>
      </c>
      <c r="U82" s="34">
        <v>0.01</v>
      </c>
      <c r="AL82" s="18"/>
      <c r="BB82"/>
      <c r="CJ82"/>
      <c r="CK82"/>
    </row>
    <row r="83" spans="2:106" x14ac:dyDescent="0.2">
      <c r="B83" s="29">
        <f t="shared" si="81"/>
        <v>1.9999999999999862E-3</v>
      </c>
      <c r="C83" s="18">
        <f t="shared" si="82"/>
        <v>346.57359027997506</v>
      </c>
      <c r="S83" s="101" t="s">
        <v>267</v>
      </c>
      <c r="T83">
        <v>2007</v>
      </c>
      <c r="U83" s="34">
        <v>8.7142857142857143E-3</v>
      </c>
      <c r="AB83" s="6"/>
      <c r="AY83" s="43"/>
      <c r="AZ83" s="43"/>
      <c r="BA83" s="379"/>
      <c r="BB83" s="379"/>
      <c r="CJ83"/>
      <c r="CK83"/>
      <c r="DA83" s="21"/>
      <c r="DB83" s="18"/>
    </row>
    <row r="84" spans="2:106" x14ac:dyDescent="0.2">
      <c r="S84" s="101" t="s">
        <v>284</v>
      </c>
      <c r="T84">
        <v>2001</v>
      </c>
      <c r="U84" s="34">
        <v>6.7142857142857143E-3</v>
      </c>
      <c r="AM84" s="21"/>
      <c r="AN84" s="21"/>
      <c r="BB84"/>
      <c r="CJ84"/>
      <c r="CK84"/>
      <c r="DA84" s="21"/>
      <c r="DB84" s="18"/>
    </row>
    <row r="85" spans="2:106" x14ac:dyDescent="0.2">
      <c r="S85" s="101" t="s">
        <v>280</v>
      </c>
      <c r="T85">
        <v>1999</v>
      </c>
      <c r="U85" s="34">
        <v>4.7142857142857143E-3</v>
      </c>
      <c r="AY85" s="379"/>
      <c r="AZ85" s="379"/>
      <c r="BA85" s="379"/>
      <c r="BB85" s="379"/>
      <c r="CJ85"/>
      <c r="CK85"/>
      <c r="DA85" s="21"/>
      <c r="DB85" s="18"/>
    </row>
    <row r="86" spans="2:106" ht="51" x14ac:dyDescent="0.2">
      <c r="S86" s="101" t="s">
        <v>290</v>
      </c>
      <c r="T86">
        <v>1999</v>
      </c>
      <c r="U86" s="294">
        <v>3.9670639760890931E-3</v>
      </c>
      <c r="V86" s="490" t="s">
        <v>293</v>
      </c>
      <c r="AU86" s="377"/>
      <c r="AV86" s="381" t="s">
        <v>260</v>
      </c>
      <c r="AW86" s="260" t="s">
        <v>258</v>
      </c>
      <c r="AX86" s="373" t="s">
        <v>259</v>
      </c>
      <c r="AY86" s="381" t="s">
        <v>336</v>
      </c>
      <c r="AZ86" s="381"/>
      <c r="BB86" s="379"/>
      <c r="CO86" s="44"/>
      <c r="CP86" s="44"/>
    </row>
    <row r="87" spans="2:106" ht="38.25" x14ac:dyDescent="0.2">
      <c r="S87" s="101" t="s">
        <v>283</v>
      </c>
      <c r="T87">
        <v>2000</v>
      </c>
      <c r="U87" s="294">
        <v>3.4285714285714288E-3</v>
      </c>
      <c r="V87" s="490"/>
      <c r="AU87" s="381" t="s">
        <v>256</v>
      </c>
      <c r="AV87" s="381" t="s">
        <v>255</v>
      </c>
      <c r="AW87" s="381">
        <f>AQ127</f>
        <v>0</v>
      </c>
      <c r="AX87" s="381" t="s">
        <v>257</v>
      </c>
      <c r="AY87" s="377"/>
      <c r="AZ87" s="377"/>
      <c r="BA87" s="258" t="s">
        <v>261</v>
      </c>
      <c r="BB87" s="379"/>
    </row>
    <row r="88" spans="2:106" x14ac:dyDescent="0.2">
      <c r="S88" s="101" t="s">
        <v>281</v>
      </c>
      <c r="T88">
        <v>1999</v>
      </c>
      <c r="U88" s="294">
        <v>3.2857142857142855E-3</v>
      </c>
      <c r="V88" s="490"/>
      <c r="AT88" s="258">
        <v>40</v>
      </c>
      <c r="AU88" s="52">
        <v>0</v>
      </c>
      <c r="AV88" s="289">
        <v>1E-3</v>
      </c>
      <c r="AW88" s="52">
        <v>40</v>
      </c>
      <c r="AX88" s="74">
        <f t="shared" ref="AX88:AX106" si="83">12+AW88</f>
        <v>52</v>
      </c>
      <c r="AY88" s="27">
        <f t="shared" ref="AY88:AY106" si="84">-$BA$91*LN(AV88)+$BA$88</f>
        <v>39.538776394910684</v>
      </c>
      <c r="AZ88" s="27"/>
      <c r="BA88" s="288">
        <v>5</v>
      </c>
      <c r="BB88" s="379"/>
    </row>
    <row r="89" spans="2:106" x14ac:dyDescent="0.2">
      <c r="S89" s="101" t="s">
        <v>267</v>
      </c>
      <c r="T89">
        <v>2007</v>
      </c>
      <c r="U89" s="294">
        <v>3.0000000000000001E-3</v>
      </c>
      <c r="V89" s="490"/>
      <c r="AT89" s="258">
        <v>30</v>
      </c>
      <c r="AU89" s="52">
        <v>10</v>
      </c>
      <c r="AV89" s="287">
        <f t="shared" ref="AV89:AV106" si="85">AU89*20/8000</f>
        <v>2.5000000000000001E-2</v>
      </c>
      <c r="AW89" s="52">
        <v>30</v>
      </c>
      <c r="AX89" s="74">
        <f t="shared" si="83"/>
        <v>42</v>
      </c>
      <c r="AY89" s="27">
        <f t="shared" si="84"/>
        <v>23.444397270569681</v>
      </c>
      <c r="AZ89" s="27"/>
      <c r="BB89" s="379"/>
    </row>
    <row r="90" spans="2:106" x14ac:dyDescent="0.2">
      <c r="S90" s="101" t="s">
        <v>282</v>
      </c>
      <c r="T90">
        <v>2000</v>
      </c>
      <c r="U90" s="294">
        <v>2.142857142857143E-3</v>
      </c>
      <c r="V90" s="490"/>
      <c r="AT90" s="258">
        <v>20</v>
      </c>
      <c r="AU90" s="52">
        <v>25</v>
      </c>
      <c r="AV90" s="287">
        <f t="shared" si="85"/>
        <v>6.25E-2</v>
      </c>
      <c r="AW90" s="52">
        <v>20</v>
      </c>
      <c r="AX90" s="74">
        <f t="shared" si="83"/>
        <v>32</v>
      </c>
      <c r="AY90" s="27">
        <f t="shared" si="84"/>
        <v>18.862943611198908</v>
      </c>
      <c r="AZ90" s="27"/>
      <c r="BA90" s="258" t="s">
        <v>262</v>
      </c>
      <c r="BB90" s="379"/>
    </row>
    <row r="91" spans="2:106" x14ac:dyDescent="0.2">
      <c r="S91" s="101" t="s">
        <v>289</v>
      </c>
      <c r="T91">
        <v>1999</v>
      </c>
      <c r="U91" s="294">
        <v>-8.0662155061252579E-3</v>
      </c>
      <c r="V91" s="490"/>
      <c r="AO91">
        <v>1.45</v>
      </c>
      <c r="AP91">
        <v>16.2</v>
      </c>
      <c r="AQ91" s="290">
        <f>LN(AO91)/AP91</f>
        <v>2.2936022002005126E-2</v>
      </c>
      <c r="AT91" s="258">
        <v>17</v>
      </c>
      <c r="AU91" s="52">
        <v>40</v>
      </c>
      <c r="AV91" s="287">
        <f t="shared" si="85"/>
        <v>0.1</v>
      </c>
      <c r="AW91" s="52">
        <v>17</v>
      </c>
      <c r="AX91" s="74">
        <f t="shared" si="83"/>
        <v>29</v>
      </c>
      <c r="AY91" s="27">
        <f t="shared" si="84"/>
        <v>16.512925464970227</v>
      </c>
      <c r="AZ91" s="27"/>
      <c r="BA91" s="288">
        <v>5</v>
      </c>
      <c r="BJ91" s="388"/>
      <c r="BK91" s="388"/>
      <c r="BL91" s="388"/>
      <c r="BM91" s="388"/>
    </row>
    <row r="92" spans="2:106" x14ac:dyDescent="0.2">
      <c r="AO92">
        <v>1.22</v>
      </c>
      <c r="AP92">
        <v>19.2</v>
      </c>
      <c r="AQ92" s="290">
        <f>LN(AO92)/AP92</f>
        <v>1.035681555964402E-2</v>
      </c>
      <c r="AU92" s="284">
        <v>50</v>
      </c>
      <c r="AV92" s="286">
        <f t="shared" si="85"/>
        <v>0.125</v>
      </c>
      <c r="AW92" s="285">
        <v>14.285714285714285</v>
      </c>
      <c r="AX92" s="285">
        <f t="shared" si="83"/>
        <v>26.285714285714285</v>
      </c>
      <c r="AY92" s="27">
        <f t="shared" si="84"/>
        <v>15.397207708399179</v>
      </c>
      <c r="AZ92" s="27"/>
      <c r="BJ92" s="388"/>
      <c r="BK92" s="388"/>
      <c r="BL92" s="388"/>
      <c r="BM92" s="388"/>
    </row>
    <row r="93" spans="2:106" x14ac:dyDescent="0.2">
      <c r="AO93">
        <v>1.08</v>
      </c>
      <c r="AP93">
        <v>19.399999999999999</v>
      </c>
      <c r="AQ93" s="290">
        <f>LN(AO93)/AP93</f>
        <v>3.9670639760890931E-3</v>
      </c>
      <c r="AU93" s="284">
        <v>100</v>
      </c>
      <c r="AV93" s="286">
        <f t="shared" si="85"/>
        <v>0.25</v>
      </c>
      <c r="AW93" s="285">
        <v>12.5</v>
      </c>
      <c r="AX93" s="285">
        <f t="shared" si="83"/>
        <v>24.5</v>
      </c>
      <c r="AY93" s="27">
        <f t="shared" si="84"/>
        <v>11.931471805599454</v>
      </c>
      <c r="AZ93" s="27"/>
    </row>
    <row r="94" spans="2:106" x14ac:dyDescent="0.2">
      <c r="AO94">
        <v>0.83</v>
      </c>
      <c r="AP94">
        <v>23.1</v>
      </c>
      <c r="AQ94" s="290">
        <f>LN(AO94)/AP94</f>
        <v>-8.0662155061252579E-3</v>
      </c>
      <c r="AT94" s="58"/>
      <c r="AU94" s="284">
        <v>150</v>
      </c>
      <c r="AV94" s="286">
        <f t="shared" si="85"/>
        <v>0.375</v>
      </c>
      <c r="AW94" s="285">
        <v>10.526315789473685</v>
      </c>
      <c r="AX94" s="285">
        <f t="shared" si="83"/>
        <v>22.526315789473685</v>
      </c>
      <c r="AY94" s="27">
        <f t="shared" si="84"/>
        <v>9.9041462650586318</v>
      </c>
      <c r="AZ94" s="27"/>
    </row>
    <row r="95" spans="2:106" ht="12.75" customHeight="1" x14ac:dyDescent="0.2">
      <c r="AR95" s="47"/>
      <c r="AT95" s="58"/>
      <c r="AU95" s="284">
        <v>200</v>
      </c>
      <c r="AV95" s="286">
        <f t="shared" si="85"/>
        <v>0.5</v>
      </c>
      <c r="AW95" s="285">
        <v>9.0909090909090917</v>
      </c>
      <c r="AX95" s="285">
        <f t="shared" si="83"/>
        <v>21.090909090909093</v>
      </c>
      <c r="AY95" s="27">
        <f t="shared" si="84"/>
        <v>8.465735902799727</v>
      </c>
      <c r="AZ95" s="27"/>
    </row>
    <row r="96" spans="2:106" x14ac:dyDescent="0.2">
      <c r="AT96" s="58"/>
      <c r="AU96" s="284">
        <v>250</v>
      </c>
      <c r="AV96" s="286">
        <f t="shared" si="85"/>
        <v>0.625</v>
      </c>
      <c r="AW96" s="285">
        <v>7.6923076923076916</v>
      </c>
      <c r="AX96" s="285">
        <f t="shared" si="83"/>
        <v>19.692307692307693</v>
      </c>
      <c r="AY96" s="27">
        <f t="shared" si="84"/>
        <v>7.3500181462286776</v>
      </c>
      <c r="AZ96" s="27"/>
    </row>
    <row r="97" spans="8:99" x14ac:dyDescent="0.2">
      <c r="AT97" s="58"/>
      <c r="AU97" s="284">
        <v>300</v>
      </c>
      <c r="AV97" s="286">
        <f t="shared" si="85"/>
        <v>0.75</v>
      </c>
      <c r="AW97" s="285">
        <v>6.666666666666667</v>
      </c>
      <c r="AX97" s="285">
        <f t="shared" si="83"/>
        <v>18.666666666666668</v>
      </c>
      <c r="AY97" s="27">
        <f t="shared" si="84"/>
        <v>6.4384103622589048</v>
      </c>
      <c r="AZ97" s="27"/>
    </row>
    <row r="98" spans="8:99" x14ac:dyDescent="0.2">
      <c r="AT98" s="21"/>
      <c r="AU98" s="284">
        <v>350</v>
      </c>
      <c r="AV98" s="286">
        <f t="shared" si="85"/>
        <v>0.875</v>
      </c>
      <c r="AW98" s="285">
        <v>4.2105263157894735</v>
      </c>
      <c r="AX98" s="285">
        <f t="shared" si="83"/>
        <v>16.210526315789473</v>
      </c>
      <c r="AY98" s="27">
        <f t="shared" si="84"/>
        <v>5.6676569631226128</v>
      </c>
      <c r="AZ98" s="27"/>
      <c r="BB98" s="379"/>
      <c r="BC98" s="379"/>
      <c r="BD98" s="379"/>
      <c r="BE98" s="379"/>
      <c r="BF98" s="379"/>
    </row>
    <row r="99" spans="8:99" ht="12.75" customHeight="1" x14ac:dyDescent="0.2">
      <c r="AS99" s="15"/>
      <c r="AT99" s="21"/>
      <c r="AU99" s="284">
        <v>400</v>
      </c>
      <c r="AV99" s="286">
        <f t="shared" si="85"/>
        <v>1</v>
      </c>
      <c r="AW99" s="285">
        <v>3.6363636363636367</v>
      </c>
      <c r="AX99" s="285">
        <f t="shared" si="83"/>
        <v>15.636363636363637</v>
      </c>
      <c r="AY99" s="27">
        <f t="shared" si="84"/>
        <v>5</v>
      </c>
      <c r="AZ99" s="27"/>
      <c r="BB99" s="379"/>
      <c r="BC99" s="379"/>
      <c r="BD99" s="379"/>
      <c r="BE99" s="379"/>
      <c r="BF99" s="379"/>
    </row>
    <row r="100" spans="8:99" s="54" customFormat="1" ht="12.75" customHeight="1" x14ac:dyDescent="0.2">
      <c r="H100"/>
      <c r="I100"/>
      <c r="J100"/>
      <c r="K100"/>
      <c r="L100"/>
      <c r="M100"/>
      <c r="N100"/>
      <c r="O100"/>
      <c r="P100"/>
      <c r="Q100"/>
      <c r="R100"/>
      <c r="S100"/>
      <c r="T100"/>
      <c r="W100" s="390"/>
      <c r="AF100"/>
      <c r="AG100"/>
      <c r="AR100" s="258"/>
      <c r="AS100" s="258"/>
      <c r="AT100" s="107"/>
      <c r="AU100" s="284">
        <v>450</v>
      </c>
      <c r="AV100" s="286">
        <f t="shared" si="85"/>
        <v>1.125</v>
      </c>
      <c r="AW100" s="285">
        <v>3.0769230769230771</v>
      </c>
      <c r="AX100" s="285">
        <f t="shared" si="83"/>
        <v>15.076923076923077</v>
      </c>
      <c r="AY100" s="27">
        <f t="shared" si="84"/>
        <v>4.4110848217180827</v>
      </c>
      <c r="AZ100" s="27"/>
      <c r="BA100" s="258"/>
      <c r="BB100" s="379"/>
      <c r="BC100" s="379"/>
      <c r="BD100" s="379"/>
      <c r="BE100" s="379"/>
      <c r="BF100" s="379"/>
      <c r="BV100"/>
      <c r="BW100"/>
      <c r="BX100"/>
      <c r="BY100"/>
      <c r="BZ100"/>
      <c r="CA100"/>
      <c r="CB100"/>
      <c r="CC100"/>
      <c r="CD100"/>
      <c r="CE100"/>
      <c r="CF100"/>
      <c r="CJ100" s="100"/>
      <c r="CK100" s="100"/>
    </row>
    <row r="101" spans="8:99" x14ac:dyDescent="0.2">
      <c r="AG101" s="29"/>
      <c r="AT101" s="21"/>
      <c r="AU101" s="284">
        <v>500</v>
      </c>
      <c r="AV101" s="286">
        <f t="shared" si="85"/>
        <v>1.25</v>
      </c>
      <c r="AW101" s="285">
        <v>2.8571428571428572</v>
      </c>
      <c r="AX101" s="285">
        <f t="shared" si="83"/>
        <v>14.857142857142858</v>
      </c>
      <c r="AY101" s="27">
        <f t="shared" si="84"/>
        <v>3.8842822434289515</v>
      </c>
      <c r="AZ101" s="27"/>
      <c r="BB101" s="379"/>
      <c r="BC101" s="379"/>
      <c r="BD101" s="379"/>
      <c r="BE101" s="379"/>
      <c r="BF101" s="379"/>
    </row>
    <row r="102" spans="8:99" x14ac:dyDescent="0.2">
      <c r="AG102" s="29"/>
      <c r="AT102" s="21"/>
      <c r="AU102" s="284">
        <v>550</v>
      </c>
      <c r="AV102" s="286">
        <f t="shared" si="85"/>
        <v>1.375</v>
      </c>
      <c r="AW102" s="285">
        <v>1.8181818181818181</v>
      </c>
      <c r="AX102" s="285">
        <f t="shared" si="83"/>
        <v>13.818181818181818</v>
      </c>
      <c r="AY102" s="27">
        <f t="shared" si="84"/>
        <v>3.4077313444073272</v>
      </c>
      <c r="AZ102" s="27"/>
      <c r="BB102" s="379"/>
      <c r="BC102" s="379"/>
      <c r="BD102" s="379"/>
      <c r="BE102" s="379"/>
      <c r="BF102" s="379"/>
      <c r="CO102" s="21"/>
      <c r="CP102" s="21"/>
    </row>
    <row r="103" spans="8:99" ht="12.75" customHeight="1" x14ac:dyDescent="0.2">
      <c r="AG103" s="29"/>
      <c r="AT103" s="21"/>
      <c r="AU103" s="284">
        <v>600</v>
      </c>
      <c r="AV103" s="286">
        <f t="shared" si="85"/>
        <v>1.5</v>
      </c>
      <c r="AW103" s="285">
        <v>1.6216216216216215</v>
      </c>
      <c r="AX103" s="285">
        <f t="shared" si="83"/>
        <v>13.621621621621621</v>
      </c>
      <c r="AY103" s="27">
        <f t="shared" si="84"/>
        <v>2.9726744594591779</v>
      </c>
      <c r="AZ103" s="27"/>
      <c r="BB103" s="60"/>
      <c r="BC103" s="60"/>
      <c r="BD103" s="60"/>
      <c r="BE103" s="60"/>
      <c r="BF103" s="60"/>
      <c r="BG103" s="60"/>
      <c r="BH103" s="60"/>
      <c r="BI103" s="60"/>
      <c r="BJ103" s="60"/>
      <c r="BK103" s="60"/>
      <c r="BL103" s="60"/>
      <c r="BM103" s="60"/>
      <c r="BN103" s="60"/>
      <c r="BO103" s="60"/>
      <c r="BP103" s="60"/>
      <c r="BQ103" s="60"/>
    </row>
    <row r="104" spans="8:99" x14ac:dyDescent="0.2">
      <c r="AG104" s="29"/>
      <c r="AT104" s="21">
        <v>1.4</v>
      </c>
      <c r="AU104" s="52">
        <v>800</v>
      </c>
      <c r="AV104" s="287">
        <f t="shared" si="85"/>
        <v>2</v>
      </c>
      <c r="AW104" s="52">
        <v>1.4</v>
      </c>
      <c r="AX104" s="74">
        <f t="shared" si="83"/>
        <v>13.4</v>
      </c>
      <c r="AY104" s="27">
        <f t="shared" si="84"/>
        <v>1.5342640972002735</v>
      </c>
      <c r="AZ104" s="27"/>
      <c r="BB104" s="60"/>
      <c r="BC104" s="60"/>
      <c r="BD104" s="60"/>
      <c r="BE104" s="60"/>
      <c r="BF104" s="60"/>
      <c r="BG104" s="60"/>
      <c r="BH104" s="60"/>
      <c r="BI104" s="60"/>
      <c r="BJ104" s="60"/>
      <c r="BK104" s="60"/>
      <c r="BL104" s="60"/>
      <c r="BM104" s="60"/>
      <c r="BN104" s="60"/>
      <c r="BO104" s="60"/>
      <c r="BP104" s="60"/>
      <c r="BQ104" s="60"/>
      <c r="CO104" s="12"/>
      <c r="CP104" s="12"/>
      <c r="CQ104" s="12"/>
      <c r="CR104" s="12"/>
      <c r="CS104" s="12"/>
      <c r="CT104" s="12"/>
    </row>
    <row r="105" spans="8:99" x14ac:dyDescent="0.2">
      <c r="AG105" s="29"/>
      <c r="AT105" s="21">
        <v>1</v>
      </c>
      <c r="AU105" s="52">
        <v>1000</v>
      </c>
      <c r="AV105" s="287">
        <f t="shared" si="85"/>
        <v>2.5</v>
      </c>
      <c r="AW105" s="52">
        <v>1</v>
      </c>
      <c r="AX105" s="74">
        <f t="shared" si="83"/>
        <v>13</v>
      </c>
      <c r="AY105" s="27">
        <f t="shared" si="84"/>
        <v>0.41854634062922447</v>
      </c>
      <c r="AZ105" s="27"/>
      <c r="BB105" s="60"/>
      <c r="BC105" s="60"/>
      <c r="BD105" s="60"/>
      <c r="BE105" s="60"/>
      <c r="BF105" s="60"/>
      <c r="BG105" s="60"/>
      <c r="BH105" s="60"/>
      <c r="BI105" s="60"/>
      <c r="BJ105" s="60"/>
      <c r="BK105" s="60"/>
      <c r="BL105" s="60"/>
      <c r="BM105" s="60"/>
      <c r="BN105" s="60"/>
      <c r="BO105" s="60"/>
      <c r="BP105" s="60"/>
      <c r="BQ105" s="60"/>
      <c r="CQ105" s="258"/>
      <c r="CR105" s="258"/>
      <c r="CS105" s="258"/>
      <c r="CT105" s="258"/>
    </row>
    <row r="106" spans="8:99" x14ac:dyDescent="0.2">
      <c r="AG106" s="29"/>
      <c r="AT106" s="21">
        <v>0.5</v>
      </c>
      <c r="AU106" s="52">
        <v>1200</v>
      </c>
      <c r="AV106" s="287">
        <f t="shared" si="85"/>
        <v>3</v>
      </c>
      <c r="AW106" s="52">
        <v>0.5</v>
      </c>
      <c r="AX106" s="74">
        <f t="shared" si="83"/>
        <v>12.5</v>
      </c>
      <c r="AY106" s="27">
        <f t="shared" si="84"/>
        <v>-0.49306144334054913</v>
      </c>
      <c r="AZ106" s="27"/>
      <c r="CU106" s="29"/>
    </row>
    <row r="107" spans="8:99" x14ac:dyDescent="0.2">
      <c r="AG107" s="29"/>
      <c r="AT107" s="21"/>
      <c r="AW107" s="101"/>
      <c r="AX107" s="27"/>
      <c r="AY107" s="108"/>
      <c r="AZ107" s="108"/>
      <c r="BA107" s="109"/>
      <c r="CU107" s="29"/>
    </row>
    <row r="108" spans="8:99" x14ac:dyDescent="0.2">
      <c r="AG108" s="29"/>
      <c r="AT108" s="58"/>
      <c r="AW108" s="101"/>
      <c r="AX108" s="27"/>
      <c r="AY108" s="108"/>
      <c r="AZ108" s="108"/>
      <c r="BA108" s="109"/>
      <c r="CU108" s="29"/>
    </row>
    <row r="109" spans="8:99" x14ac:dyDescent="0.2">
      <c r="AG109" s="29"/>
      <c r="AT109" s="58"/>
      <c r="AW109" s="101"/>
      <c r="AX109" s="27"/>
      <c r="AY109" s="108"/>
      <c r="AZ109" s="108"/>
      <c r="BA109" s="109"/>
      <c r="CU109" s="29"/>
    </row>
    <row r="110" spans="8:99" x14ac:dyDescent="0.2">
      <c r="AG110" s="29"/>
      <c r="AT110" s="58"/>
      <c r="AW110" s="101"/>
      <c r="AX110" s="27"/>
      <c r="AY110" s="108"/>
      <c r="AZ110" s="108"/>
      <c r="BA110" s="109"/>
    </row>
    <row r="111" spans="8:99" x14ac:dyDescent="0.2">
      <c r="AG111" s="29"/>
      <c r="AT111" s="58"/>
      <c r="AW111" s="101"/>
      <c r="AX111" s="27"/>
      <c r="AY111" s="108"/>
      <c r="AZ111" s="108"/>
      <c r="BA111" s="109"/>
    </row>
    <row r="112" spans="8:99" x14ac:dyDescent="0.2">
      <c r="AG112" s="29"/>
      <c r="AT112" s="58"/>
      <c r="AW112" s="101"/>
      <c r="AX112" s="27"/>
      <c r="AY112" s="108"/>
      <c r="AZ112" s="108"/>
      <c r="BA112" s="109"/>
    </row>
    <row r="113" spans="33:89" x14ac:dyDescent="0.2">
      <c r="AG113" s="29"/>
      <c r="AT113" s="58"/>
      <c r="AW113" s="101"/>
      <c r="AX113" s="27"/>
      <c r="AY113" s="108"/>
      <c r="AZ113" s="108"/>
      <c r="BA113" s="109"/>
    </row>
    <row r="114" spans="33:89" x14ac:dyDescent="0.2">
      <c r="AT114" s="58"/>
      <c r="AW114" s="101"/>
      <c r="AX114" s="27"/>
      <c r="AY114" s="108"/>
      <c r="AZ114" s="108"/>
      <c r="BA114" s="109"/>
      <c r="CJ114" s="17"/>
      <c r="CK114" s="17"/>
    </row>
    <row r="115" spans="33:89" x14ac:dyDescent="0.2">
      <c r="AT115" s="58"/>
      <c r="AW115" s="101"/>
      <c r="AX115" s="27"/>
      <c r="AY115" s="108"/>
      <c r="AZ115" s="108"/>
      <c r="BA115" s="109"/>
      <c r="CJ115" s="17"/>
      <c r="CK115" s="17"/>
    </row>
    <row r="116" spans="33:89" x14ac:dyDescent="0.2">
      <c r="AG116" s="29"/>
      <c r="AT116" s="58"/>
      <c r="AW116" s="101"/>
      <c r="AX116" s="27"/>
      <c r="AY116" s="108"/>
      <c r="AZ116" s="108"/>
      <c r="BA116" s="109"/>
      <c r="CJ116" s="17"/>
      <c r="CK116" s="17"/>
    </row>
    <row r="117" spans="33:89" x14ac:dyDescent="0.2">
      <c r="AG117" s="29"/>
      <c r="AT117" s="58"/>
      <c r="CJ117" s="17"/>
      <c r="CK117" s="17"/>
    </row>
    <row r="118" spans="33:89" x14ac:dyDescent="0.2">
      <c r="AG118" s="29"/>
      <c r="AT118" s="58"/>
      <c r="CJ118" s="17"/>
      <c r="CK118" s="17"/>
    </row>
    <row r="119" spans="33:89" x14ac:dyDescent="0.2">
      <c r="CJ119" s="17"/>
      <c r="CK119" s="17"/>
    </row>
    <row r="120" spans="33:89" x14ac:dyDescent="0.2">
      <c r="CJ120" s="17"/>
      <c r="CK120" s="17"/>
    </row>
    <row r="121" spans="33:89" x14ac:dyDescent="0.2">
      <c r="BV121" s="258"/>
      <c r="CJ121" s="17"/>
      <c r="CK121" s="17"/>
    </row>
    <row r="122" spans="33:89" x14ac:dyDescent="0.2">
      <c r="BV122" s="258"/>
      <c r="CJ122" s="17"/>
      <c r="CK122" s="17"/>
    </row>
    <row r="123" spans="33:89" x14ac:dyDescent="0.2">
      <c r="BV123" s="258"/>
      <c r="CJ123" s="17"/>
      <c r="CK123" s="17"/>
    </row>
    <row r="124" spans="33:89" x14ac:dyDescent="0.2">
      <c r="BV124" s="258"/>
      <c r="CJ124" s="17"/>
      <c r="CK124" s="17"/>
    </row>
    <row r="125" spans="33:89" x14ac:dyDescent="0.2">
      <c r="BV125" s="258"/>
      <c r="CJ125" s="17"/>
      <c r="CK125" s="17"/>
    </row>
    <row r="126" spans="33:89" x14ac:dyDescent="0.2">
      <c r="AQ126" s="54"/>
      <c r="AT126"/>
      <c r="BV126" s="258"/>
      <c r="CJ126" s="17"/>
      <c r="CK126" s="17"/>
    </row>
    <row r="127" spans="33:89" x14ac:dyDescent="0.2">
      <c r="AN127" s="20"/>
      <c r="AO127" s="20"/>
      <c r="AP127" s="20"/>
      <c r="AQ127" s="20"/>
      <c r="AT127"/>
      <c r="BV127" s="258"/>
      <c r="CJ127" s="17"/>
      <c r="CK127" s="17"/>
    </row>
    <row r="128" spans="33:89" x14ac:dyDescent="0.2">
      <c r="AQ128" s="30"/>
      <c r="AT128"/>
      <c r="BV128" s="258"/>
      <c r="CJ128" s="17"/>
      <c r="CK128" s="17"/>
    </row>
    <row r="129" spans="43:89" x14ac:dyDescent="0.2">
      <c r="AQ129" s="30"/>
      <c r="AT129"/>
      <c r="BV129" s="258"/>
      <c r="CJ129" s="17"/>
      <c r="CK129" s="17"/>
    </row>
    <row r="130" spans="43:89" x14ac:dyDescent="0.2">
      <c r="AQ130" s="30"/>
      <c r="AT130"/>
      <c r="BV130" s="258"/>
      <c r="CJ130" s="17"/>
      <c r="CK130" s="17"/>
    </row>
    <row r="131" spans="43:89" x14ac:dyDescent="0.2">
      <c r="AQ131" s="30"/>
      <c r="AT131"/>
      <c r="BV131" s="258"/>
      <c r="CJ131" s="17"/>
      <c r="CK131" s="17"/>
    </row>
    <row r="132" spans="43:89" x14ac:dyDescent="0.2">
      <c r="AQ132" s="30"/>
      <c r="AT132"/>
      <c r="BV132" s="258"/>
      <c r="CJ132" s="17"/>
      <c r="CK132" s="17"/>
    </row>
    <row r="133" spans="43:89" x14ac:dyDescent="0.2">
      <c r="AQ133" s="30"/>
      <c r="AT133"/>
      <c r="BV133" s="258"/>
      <c r="CJ133" s="17"/>
      <c r="CK133" s="17"/>
    </row>
    <row r="134" spans="43:89" x14ac:dyDescent="0.2">
      <c r="AQ134" s="30"/>
      <c r="AT134"/>
      <c r="BV134" s="258"/>
      <c r="CJ134" s="17"/>
      <c r="CK134" s="17"/>
    </row>
    <row r="135" spans="43:89" x14ac:dyDescent="0.2">
      <c r="AQ135" s="30"/>
      <c r="AT135"/>
      <c r="BV135" s="258"/>
      <c r="CJ135" s="17"/>
      <c r="CK135" s="17"/>
    </row>
    <row r="136" spans="43:89" x14ac:dyDescent="0.2">
      <c r="AQ136" s="30"/>
      <c r="AT136"/>
      <c r="BV136" s="258"/>
      <c r="CJ136" s="17"/>
      <c r="CK136" s="17"/>
    </row>
    <row r="137" spans="43:89" x14ac:dyDescent="0.2">
      <c r="AQ137" s="30"/>
      <c r="AT137"/>
      <c r="BV137" s="258"/>
      <c r="CJ137" s="17"/>
      <c r="CK137" s="17"/>
    </row>
    <row r="138" spans="43:89" x14ac:dyDescent="0.2">
      <c r="AQ138" s="30"/>
      <c r="AT138"/>
    </row>
    <row r="139" spans="43:89" x14ac:dyDescent="0.2">
      <c r="AQ139" s="30"/>
      <c r="AT139"/>
    </row>
    <row r="140" spans="43:89" x14ac:dyDescent="0.2">
      <c r="AR140"/>
      <c r="AS140"/>
      <c r="AT140"/>
    </row>
    <row r="141" spans="43:89" x14ac:dyDescent="0.2">
      <c r="AR141"/>
      <c r="AS141"/>
      <c r="AT141"/>
    </row>
    <row r="142" spans="43:89" x14ac:dyDescent="0.2">
      <c r="AR142"/>
      <c r="AS142"/>
      <c r="AT142"/>
    </row>
    <row r="143" spans="43:89" x14ac:dyDescent="0.2">
      <c r="AR143"/>
      <c r="AS143"/>
      <c r="AT143"/>
    </row>
    <row r="144" spans="43:89" x14ac:dyDescent="0.2">
      <c r="AR144"/>
      <c r="AS144"/>
      <c r="AT144"/>
    </row>
    <row r="145" spans="23:109" x14ac:dyDescent="0.2">
      <c r="AR145"/>
      <c r="AS145"/>
      <c r="AT145"/>
    </row>
    <row r="146" spans="23:109" s="258" customFormat="1" x14ac:dyDescent="0.2">
      <c r="W146" s="390"/>
      <c r="AQ146"/>
      <c r="AR146"/>
      <c r="AS146"/>
      <c r="BG146"/>
      <c r="BH146"/>
      <c r="BI146"/>
      <c r="BJ146"/>
      <c r="BK146"/>
      <c r="BL146"/>
      <c r="BM146"/>
      <c r="BN146"/>
      <c r="BO146"/>
      <c r="BP146"/>
      <c r="BQ146"/>
      <c r="BR146"/>
      <c r="BS146"/>
      <c r="BT146"/>
      <c r="BU146"/>
      <c r="BV146"/>
      <c r="BW146"/>
      <c r="BX146"/>
      <c r="BY146"/>
      <c r="BZ146"/>
      <c r="CA146"/>
      <c r="CB146"/>
      <c r="CC146"/>
      <c r="CD146"/>
      <c r="CE146"/>
      <c r="CF146"/>
      <c r="CG146"/>
      <c r="CH146"/>
      <c r="CI146"/>
      <c r="CJ146" s="18"/>
      <c r="CK146" s="18"/>
      <c r="CL146"/>
      <c r="CM146"/>
      <c r="CN146"/>
      <c r="CO146"/>
      <c r="CP146"/>
      <c r="CQ146"/>
      <c r="CR146"/>
      <c r="CS146"/>
      <c r="CT146"/>
      <c r="CU146"/>
      <c r="CV146"/>
      <c r="CW146"/>
      <c r="CX146"/>
      <c r="CY146"/>
      <c r="CZ146"/>
      <c r="DA146"/>
      <c r="DB146"/>
      <c r="DC146"/>
      <c r="DD146"/>
      <c r="DE146"/>
    </row>
    <row r="147" spans="23:109" s="258" customFormat="1" x14ac:dyDescent="0.2">
      <c r="W147" s="390"/>
      <c r="AJ147"/>
      <c r="AK147"/>
      <c r="AL147"/>
      <c r="AM147"/>
      <c r="AN147"/>
      <c r="AO147"/>
      <c r="AP147"/>
      <c r="AQ147"/>
      <c r="AT147" s="58"/>
      <c r="AU147"/>
      <c r="AV147"/>
      <c r="AW147" s="30"/>
      <c r="AX147" s="29"/>
      <c r="AY147"/>
      <c r="AZ147"/>
      <c r="BG147"/>
      <c r="BH147"/>
      <c r="BI147"/>
      <c r="BJ147"/>
      <c r="BK147"/>
      <c r="BL147"/>
      <c r="BM147"/>
      <c r="BN147"/>
      <c r="BO147"/>
      <c r="BP147"/>
      <c r="BQ147"/>
      <c r="BR147"/>
      <c r="BS147"/>
      <c r="BT147"/>
      <c r="BU147"/>
      <c r="BV147"/>
      <c r="BW147"/>
      <c r="BX147"/>
      <c r="BY147"/>
      <c r="BZ147"/>
      <c r="CA147"/>
      <c r="CB147"/>
      <c r="CC147"/>
      <c r="CD147"/>
      <c r="CE147"/>
      <c r="CF147"/>
      <c r="CG147"/>
      <c r="CH147"/>
      <c r="CI147"/>
      <c r="CJ147" s="18"/>
      <c r="CK147" s="18"/>
      <c r="CL147"/>
      <c r="CM147"/>
      <c r="CN147"/>
      <c r="CO147"/>
      <c r="CP147"/>
      <c r="CQ147"/>
      <c r="CR147"/>
      <c r="CS147"/>
      <c r="CT147"/>
      <c r="CU147"/>
      <c r="CV147"/>
      <c r="CW147"/>
      <c r="CX147"/>
      <c r="CY147"/>
      <c r="CZ147"/>
      <c r="DA147"/>
      <c r="DB147"/>
      <c r="DC147"/>
      <c r="DD147"/>
      <c r="DE147"/>
    </row>
    <row r="148" spans="23:109" s="258" customFormat="1" x14ac:dyDescent="0.2">
      <c r="W148" s="390"/>
      <c r="AJ148"/>
      <c r="AK148"/>
      <c r="AL148"/>
      <c r="AM148"/>
      <c r="AN148"/>
      <c r="AO148"/>
      <c r="AP148"/>
      <c r="AQ148"/>
      <c r="AT148" s="58"/>
      <c r="AU148"/>
      <c r="AV148"/>
      <c r="AW148" s="30"/>
      <c r="AX148" s="29"/>
      <c r="AY148"/>
      <c r="AZ148"/>
      <c r="BG148"/>
      <c r="BH148"/>
      <c r="BI148"/>
      <c r="BJ148"/>
      <c r="BK148"/>
      <c r="BL148"/>
      <c r="BM148"/>
      <c r="BN148"/>
      <c r="BO148"/>
      <c r="BP148"/>
      <c r="BQ148"/>
      <c r="BR148"/>
      <c r="BS148"/>
      <c r="BT148"/>
      <c r="BU148"/>
      <c r="BV148"/>
      <c r="BW148"/>
      <c r="BX148"/>
      <c r="BY148"/>
      <c r="BZ148"/>
      <c r="CA148"/>
      <c r="CB148"/>
      <c r="CC148"/>
      <c r="CD148"/>
      <c r="CE148"/>
      <c r="CF148"/>
      <c r="CG148"/>
      <c r="CH148"/>
      <c r="CI148"/>
      <c r="CJ148" s="18"/>
      <c r="CK148" s="18"/>
      <c r="CL148"/>
      <c r="CM148"/>
      <c r="CN148"/>
      <c r="CO148"/>
      <c r="CP148"/>
      <c r="CQ148"/>
      <c r="CR148"/>
      <c r="CS148"/>
      <c r="CT148"/>
      <c r="CU148"/>
      <c r="CV148"/>
      <c r="CW148"/>
      <c r="CX148"/>
      <c r="CY148"/>
      <c r="CZ148"/>
      <c r="DA148"/>
      <c r="DB148"/>
      <c r="DC148"/>
      <c r="DD148"/>
      <c r="DE148"/>
    </row>
    <row r="149" spans="23:109" s="258" customFormat="1" x14ac:dyDescent="0.2">
      <c r="W149" s="390"/>
      <c r="AJ149"/>
      <c r="AK149"/>
      <c r="AL149"/>
      <c r="AM149"/>
      <c r="AN149"/>
      <c r="AO149"/>
      <c r="AP149"/>
      <c r="AQ149"/>
      <c r="AT149" s="58"/>
      <c r="AU149"/>
      <c r="AV149"/>
      <c r="AW149" s="30"/>
      <c r="AX149" s="29"/>
      <c r="AY149"/>
      <c r="AZ149"/>
      <c r="BG149"/>
      <c r="BH149"/>
      <c r="BI149"/>
      <c r="BJ149"/>
      <c r="BK149"/>
      <c r="BL149"/>
      <c r="BM149"/>
      <c r="BN149"/>
      <c r="BO149"/>
      <c r="BP149"/>
      <c r="BQ149"/>
      <c r="BR149"/>
      <c r="BS149"/>
      <c r="BT149"/>
      <c r="BU149"/>
      <c r="BV149"/>
      <c r="BW149"/>
      <c r="BX149"/>
      <c r="BY149"/>
      <c r="BZ149"/>
      <c r="CA149"/>
      <c r="CB149"/>
      <c r="CC149"/>
      <c r="CD149"/>
      <c r="CE149"/>
      <c r="CF149"/>
      <c r="CG149"/>
      <c r="CH149"/>
      <c r="CI149"/>
      <c r="CJ149" s="18"/>
      <c r="CK149" s="18"/>
      <c r="CL149"/>
      <c r="CM149"/>
      <c r="CN149"/>
      <c r="CO149"/>
      <c r="CP149"/>
      <c r="CQ149"/>
      <c r="CR149"/>
      <c r="CS149"/>
      <c r="CT149"/>
      <c r="CU149"/>
      <c r="CV149"/>
      <c r="CW149"/>
      <c r="CX149"/>
      <c r="CY149"/>
      <c r="CZ149"/>
      <c r="DA149"/>
      <c r="DB149"/>
      <c r="DC149"/>
      <c r="DD149"/>
      <c r="DE149"/>
    </row>
    <row r="150" spans="23:109" s="258" customFormat="1" x14ac:dyDescent="0.2">
      <c r="W150" s="390"/>
      <c r="AJ150"/>
      <c r="AK150"/>
      <c r="AL150"/>
      <c r="AM150"/>
      <c r="AN150"/>
      <c r="AO150"/>
      <c r="AP150"/>
      <c r="AQ150"/>
      <c r="AT150" s="58"/>
      <c r="AU150"/>
      <c r="AV150"/>
      <c r="AW150" s="30"/>
      <c r="AX150" s="29"/>
      <c r="AY150"/>
      <c r="AZ150"/>
      <c r="BG150"/>
      <c r="BH150"/>
      <c r="BI150"/>
      <c r="BJ150"/>
      <c r="BK150"/>
      <c r="BL150"/>
      <c r="BM150"/>
      <c r="BN150"/>
      <c r="BO150"/>
      <c r="BP150"/>
      <c r="BQ150"/>
      <c r="BR150"/>
      <c r="BS150"/>
      <c r="BT150"/>
      <c r="BU150"/>
      <c r="BV150"/>
      <c r="BW150"/>
      <c r="BX150"/>
      <c r="BY150"/>
      <c r="BZ150"/>
      <c r="CA150"/>
      <c r="CB150"/>
      <c r="CC150"/>
      <c r="CD150"/>
      <c r="CE150"/>
      <c r="CF150"/>
      <c r="CG150"/>
      <c r="CH150"/>
      <c r="CI150"/>
      <c r="CJ150" s="18"/>
      <c r="CK150" s="18"/>
      <c r="CL150"/>
      <c r="CM150"/>
      <c r="CN150"/>
      <c r="CO150"/>
      <c r="CP150"/>
      <c r="CQ150"/>
      <c r="CR150"/>
      <c r="CS150"/>
      <c r="CT150"/>
      <c r="CU150"/>
      <c r="CV150"/>
      <c r="CW150"/>
      <c r="CX150"/>
      <c r="CY150"/>
      <c r="CZ150"/>
      <c r="DA150"/>
      <c r="DB150"/>
      <c r="DC150"/>
      <c r="DD150"/>
      <c r="DE150"/>
    </row>
    <row r="151" spans="23:109" s="258" customFormat="1" x14ac:dyDescent="0.2">
      <c r="W151" s="390"/>
      <c r="AJ151"/>
      <c r="AK151"/>
      <c r="AL151"/>
      <c r="AM151"/>
      <c r="AN151"/>
      <c r="AO151"/>
      <c r="AP151"/>
      <c r="AQ151"/>
      <c r="AT151" s="58"/>
      <c r="AU151"/>
      <c r="AV151"/>
      <c r="AW151" s="30"/>
      <c r="AX151" s="29"/>
      <c r="AY151"/>
      <c r="AZ151"/>
      <c r="BG151"/>
      <c r="BH151"/>
      <c r="BI151"/>
      <c r="BJ151"/>
      <c r="BK151"/>
      <c r="BL151"/>
      <c r="BM151"/>
      <c r="BN151"/>
      <c r="BO151"/>
      <c r="BP151"/>
      <c r="BQ151"/>
      <c r="BR151"/>
      <c r="BS151"/>
      <c r="BT151"/>
      <c r="BU151"/>
      <c r="BV151"/>
      <c r="BW151"/>
      <c r="BX151"/>
      <c r="BY151"/>
      <c r="BZ151"/>
      <c r="CA151"/>
      <c r="CB151"/>
      <c r="CC151"/>
      <c r="CD151"/>
      <c r="CE151"/>
      <c r="CF151"/>
      <c r="CG151"/>
      <c r="CH151"/>
      <c r="CI151"/>
      <c r="CJ151" s="18"/>
      <c r="CK151" s="18"/>
      <c r="CL151"/>
      <c r="CM151"/>
      <c r="CN151"/>
      <c r="CO151"/>
      <c r="CP151"/>
      <c r="CQ151"/>
      <c r="CR151"/>
      <c r="CS151"/>
      <c r="CT151"/>
      <c r="CU151"/>
      <c r="CV151"/>
      <c r="CW151"/>
      <c r="CX151"/>
      <c r="CY151"/>
      <c r="CZ151"/>
      <c r="DA151"/>
      <c r="DB151"/>
      <c r="DC151"/>
      <c r="DD151"/>
      <c r="DE151"/>
    </row>
    <row r="152" spans="23:109" s="258" customFormat="1" x14ac:dyDescent="0.2">
      <c r="W152" s="390"/>
      <c r="AJ152"/>
      <c r="AK152"/>
      <c r="AL152"/>
      <c r="AM152"/>
      <c r="AN152"/>
      <c r="AO152"/>
      <c r="AP152"/>
      <c r="AQ152"/>
      <c r="AT152"/>
      <c r="AU152"/>
      <c r="AV152"/>
      <c r="AW152"/>
      <c r="AX152"/>
      <c r="AY152"/>
      <c r="AZ152"/>
      <c r="BG152"/>
      <c r="BH152"/>
      <c r="BI152"/>
      <c r="BJ152"/>
      <c r="BK152"/>
      <c r="BL152"/>
      <c r="BM152"/>
      <c r="BN152"/>
      <c r="BO152"/>
      <c r="BP152"/>
      <c r="BQ152"/>
      <c r="BR152"/>
      <c r="BS152"/>
      <c r="BT152"/>
      <c r="BU152"/>
      <c r="BV152"/>
      <c r="BW152"/>
      <c r="BX152"/>
      <c r="BY152"/>
      <c r="BZ152"/>
      <c r="CA152"/>
      <c r="CB152"/>
      <c r="CC152"/>
      <c r="CD152"/>
      <c r="CE152"/>
      <c r="CF152"/>
      <c r="CG152"/>
      <c r="CH152"/>
      <c r="CI152"/>
      <c r="CJ152" s="18"/>
      <c r="CK152" s="18"/>
      <c r="CL152"/>
      <c r="CM152"/>
      <c r="CN152"/>
      <c r="CO152"/>
      <c r="CP152"/>
      <c r="CQ152"/>
      <c r="CR152"/>
      <c r="CS152"/>
      <c r="CT152"/>
      <c r="CU152"/>
      <c r="CV152"/>
      <c r="CW152"/>
      <c r="CX152"/>
      <c r="CY152"/>
      <c r="CZ152"/>
      <c r="DA152"/>
      <c r="DB152"/>
      <c r="DC152"/>
      <c r="DD152"/>
      <c r="DE152"/>
    </row>
    <row r="153" spans="23:109" x14ac:dyDescent="0.2">
      <c r="AT153"/>
      <c r="AU153"/>
      <c r="AV153"/>
      <c r="AW153"/>
      <c r="AX153"/>
      <c r="AY153"/>
      <c r="AZ153"/>
    </row>
    <row r="154" spans="23:109" x14ac:dyDescent="0.2">
      <c r="AU154"/>
      <c r="AV154"/>
      <c r="AW154" s="30"/>
      <c r="AX154" s="29"/>
      <c r="AY154"/>
      <c r="AZ154"/>
    </row>
  </sheetData>
  <sheetProtection password="CF27" sheet="1" objects="1" scenarios="1" selectLockedCells="1"/>
  <mergeCells count="64">
    <mergeCell ref="AS58:AS68"/>
    <mergeCell ref="AI62:AI64"/>
    <mergeCell ref="V69:V78"/>
    <mergeCell ref="AR74:AW78"/>
    <mergeCell ref="V86:V91"/>
    <mergeCell ref="B55:C55"/>
    <mergeCell ref="AI29:AI30"/>
    <mergeCell ref="Z31:AA31"/>
    <mergeCell ref="AB31:AH31"/>
    <mergeCell ref="AI31:AI32"/>
    <mergeCell ref="B35:T35"/>
    <mergeCell ref="U35:AA36"/>
    <mergeCell ref="B38:C38"/>
    <mergeCell ref="U40:U41"/>
    <mergeCell ref="V40:AA42"/>
    <mergeCell ref="R41:S41"/>
    <mergeCell ref="O42:O43"/>
    <mergeCell ref="P42:T43"/>
    <mergeCell ref="B24:Q24"/>
    <mergeCell ref="R24:S24"/>
    <mergeCell ref="B25:Q25"/>
    <mergeCell ref="R25:S25"/>
    <mergeCell ref="A26:A35"/>
    <mergeCell ref="L26:N26"/>
    <mergeCell ref="C29:S30"/>
    <mergeCell ref="N32:O32"/>
    <mergeCell ref="B21:S23"/>
    <mergeCell ref="AB21:AB22"/>
    <mergeCell ref="AC21:AG22"/>
    <mergeCell ref="AB11:AB12"/>
    <mergeCell ref="AC11:AG12"/>
    <mergeCell ref="AB13:AB14"/>
    <mergeCell ref="AC13:AG14"/>
    <mergeCell ref="AB15:AB16"/>
    <mergeCell ref="AC15:AG16"/>
    <mergeCell ref="AB17:AB18"/>
    <mergeCell ref="AC17:AG18"/>
    <mergeCell ref="B18:S19"/>
    <mergeCell ref="AB19:AB20"/>
    <mergeCell ref="AC19:AG20"/>
    <mergeCell ref="DH3:DI3"/>
    <mergeCell ref="AC4:AE4"/>
    <mergeCell ref="AI4:AI27"/>
    <mergeCell ref="AB5:AB6"/>
    <mergeCell ref="AC5:AG6"/>
    <mergeCell ref="A6:A20"/>
    <mergeCell ref="AB7:AB8"/>
    <mergeCell ref="AC7:AG8"/>
    <mergeCell ref="AB9:AB10"/>
    <mergeCell ref="AC9:AG10"/>
    <mergeCell ref="CO1:CQ2"/>
    <mergeCell ref="CU1:CZ1"/>
    <mergeCell ref="DB1:DD1"/>
    <mergeCell ref="CR2:CS2"/>
    <mergeCell ref="CU2:CW2"/>
    <mergeCell ref="AJ1:AN1"/>
    <mergeCell ref="AO1:AX1"/>
    <mergeCell ref="BW1:BX1"/>
    <mergeCell ref="A3:A5"/>
    <mergeCell ref="AB3:AG3"/>
    <mergeCell ref="AH3:AI3"/>
    <mergeCell ref="A1:B1"/>
    <mergeCell ref="C1:S1"/>
    <mergeCell ref="X1:AB1"/>
  </mergeCells>
  <pageMargins left="0.7" right="0.7" top="0.75" bottom="0.75" header="0.3" footer="0.3"/>
  <pageSetup scale="34" orientation="portrait" r:id="rId1"/>
  <colBreaks count="1" manualBreakCount="1">
    <brk id="35"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B1:AO512"/>
  <sheetViews>
    <sheetView topLeftCell="A111" zoomScale="80" zoomScaleNormal="80" workbookViewId="0">
      <selection activeCell="B115" sqref="B115:B138"/>
    </sheetView>
  </sheetViews>
  <sheetFormatPr defaultRowHeight="12.75" x14ac:dyDescent="0.2"/>
  <cols>
    <col min="1" max="1" width="1.5703125" customWidth="1"/>
    <col min="2" max="2" width="80.7109375" customWidth="1"/>
    <col min="3" max="3" width="11.7109375" style="151" customWidth="1"/>
    <col min="4" max="4" width="12.5703125" style="150" customWidth="1"/>
    <col min="5" max="5" width="12.5703125" customWidth="1"/>
    <col min="6" max="6" width="9.140625" style="151"/>
    <col min="7" max="7" width="12.42578125" bestFit="1" customWidth="1"/>
    <col min="8" max="8" width="12.5703125" style="151" customWidth="1"/>
    <col min="9" max="9" width="12.5703125" customWidth="1"/>
    <col min="10" max="10" width="11.5703125" style="342" customWidth="1"/>
    <col min="26" max="26" width="12.7109375" customWidth="1"/>
    <col min="30" max="30" width="13.5703125" customWidth="1"/>
    <col min="31" max="31" width="11.28515625" customWidth="1"/>
    <col min="32" max="32" width="17.85546875" bestFit="1" customWidth="1"/>
    <col min="33" max="33" width="18.42578125" bestFit="1" customWidth="1"/>
    <col min="34" max="35" width="29.5703125" bestFit="1" customWidth="1"/>
  </cols>
  <sheetData>
    <row r="1" spans="2:41" x14ac:dyDescent="0.2">
      <c r="B1" s="304"/>
      <c r="C1" s="175" t="s">
        <v>47</v>
      </c>
      <c r="D1" s="176"/>
      <c r="E1" s="128"/>
      <c r="F1" s="128"/>
      <c r="G1" s="128"/>
      <c r="H1" s="128"/>
      <c r="I1" s="128"/>
      <c r="J1" s="335"/>
      <c r="K1" s="128"/>
      <c r="L1" s="128"/>
      <c r="M1" s="194" t="s">
        <v>296</v>
      </c>
      <c r="N1" s="128"/>
      <c r="O1" s="128"/>
      <c r="P1" s="128"/>
      <c r="Q1" s="128"/>
      <c r="R1" s="128"/>
      <c r="S1" s="128"/>
      <c r="T1" s="128"/>
      <c r="U1" s="128"/>
      <c r="V1" s="128"/>
      <c r="W1" s="128"/>
      <c r="X1" s="128"/>
      <c r="Y1" s="128"/>
      <c r="Z1" s="128"/>
      <c r="AA1" s="128"/>
      <c r="AB1" s="128"/>
      <c r="AC1" s="128"/>
      <c r="AD1" s="128"/>
      <c r="AE1" s="128"/>
      <c r="AF1" s="179" t="s">
        <v>44</v>
      </c>
      <c r="AG1" s="184">
        <f>'Current version'!B33</f>
        <v>2</v>
      </c>
      <c r="AH1" s="128"/>
      <c r="AI1" s="128"/>
      <c r="AJ1" s="128"/>
      <c r="AK1" s="128"/>
      <c r="AL1" s="128"/>
      <c r="AM1" s="128"/>
      <c r="AN1" s="128"/>
      <c r="AO1" s="128"/>
    </row>
    <row r="2" spans="2:41" x14ac:dyDescent="0.2">
      <c r="B2" s="128"/>
      <c r="C2" s="177" t="s">
        <v>48</v>
      </c>
      <c r="D2" s="175"/>
      <c r="E2" s="128"/>
      <c r="F2" s="128"/>
      <c r="G2" s="128"/>
      <c r="H2" s="128"/>
      <c r="I2" s="178" t="s">
        <v>49</v>
      </c>
      <c r="J2" s="335" t="s">
        <v>50</v>
      </c>
      <c r="K2" s="128"/>
      <c r="L2" s="128"/>
      <c r="M2" s="128">
        <v>2000</v>
      </c>
      <c r="N2" s="128" t="s">
        <v>297</v>
      </c>
      <c r="O2" s="128"/>
      <c r="P2" s="128"/>
      <c r="Q2" s="128"/>
      <c r="R2" s="128"/>
      <c r="S2" s="128"/>
      <c r="T2" s="128"/>
      <c r="U2" s="128"/>
      <c r="V2" s="128"/>
      <c r="W2" s="128"/>
      <c r="X2" s="128"/>
      <c r="Y2" s="128"/>
      <c r="Z2" s="128"/>
      <c r="AA2" s="128"/>
      <c r="AB2" s="128"/>
      <c r="AC2" s="128"/>
      <c r="AD2" s="128"/>
      <c r="AE2" t="s">
        <v>303</v>
      </c>
      <c r="AF2" t="s">
        <v>304</v>
      </c>
      <c r="AG2" t="s">
        <v>306</v>
      </c>
      <c r="AH2" s="128" t="s">
        <v>305</v>
      </c>
      <c r="AI2" s="128" t="s">
        <v>307</v>
      </c>
      <c r="AJ2" s="128" t="s">
        <v>333</v>
      </c>
      <c r="AK2" s="128"/>
      <c r="AL2" s="128"/>
      <c r="AM2" s="128"/>
      <c r="AN2" s="128"/>
      <c r="AO2" s="128"/>
    </row>
    <row r="3" spans="2:41" x14ac:dyDescent="0.2">
      <c r="B3" s="128"/>
      <c r="C3" s="177" t="s">
        <v>51</v>
      </c>
      <c r="D3" s="175"/>
      <c r="E3" s="128"/>
      <c r="F3" s="128"/>
      <c r="G3" s="128"/>
      <c r="H3" s="128"/>
      <c r="I3" s="128"/>
      <c r="J3" s="335"/>
      <c r="K3" s="128"/>
      <c r="L3" s="128"/>
      <c r="M3" s="128">
        <v>4500</v>
      </c>
      <c r="N3" s="128" t="s">
        <v>298</v>
      </c>
      <c r="O3" s="128"/>
      <c r="P3" s="128"/>
      <c r="Q3" s="128"/>
      <c r="R3" s="128"/>
      <c r="S3" s="128"/>
      <c r="T3" s="128"/>
      <c r="U3" s="128"/>
      <c r="V3" s="128"/>
      <c r="W3" s="128"/>
      <c r="X3" s="128"/>
      <c r="Y3" s="128"/>
      <c r="Z3" s="128"/>
      <c r="AA3" s="128"/>
      <c r="AB3" s="128"/>
      <c r="AC3" s="492" t="s">
        <v>309</v>
      </c>
      <c r="AD3" s="492"/>
      <c r="AE3" s="301">
        <v>0</v>
      </c>
      <c r="AF3" s="303">
        <v>1</v>
      </c>
      <c r="AG3" s="303">
        <v>2</v>
      </c>
      <c r="AH3" s="303">
        <v>3</v>
      </c>
      <c r="AI3" s="303">
        <v>4</v>
      </c>
      <c r="AJ3" s="128"/>
      <c r="AK3" s="180" t="s">
        <v>342</v>
      </c>
      <c r="AL3" s="128"/>
      <c r="AM3" s="128"/>
      <c r="AN3" s="128"/>
      <c r="AO3" s="128"/>
    </row>
    <row r="4" spans="2:41" x14ac:dyDescent="0.2">
      <c r="B4" s="128"/>
      <c r="C4" s="180" t="s">
        <v>2</v>
      </c>
      <c r="D4" s="181" t="s">
        <v>59</v>
      </c>
      <c r="E4" s="128"/>
      <c r="F4" s="128"/>
      <c r="G4" s="128"/>
      <c r="H4" s="128"/>
      <c r="I4" s="128"/>
      <c r="J4" s="335"/>
      <c r="K4" s="128"/>
      <c r="L4" s="128"/>
      <c r="M4" s="128"/>
      <c r="N4" s="128"/>
      <c r="O4" s="128"/>
      <c r="P4" s="128"/>
      <c r="Q4" s="128"/>
      <c r="R4" s="128"/>
      <c r="S4" s="128"/>
      <c r="T4" s="128"/>
      <c r="U4" s="128"/>
      <c r="V4" s="128"/>
      <c r="W4" s="128"/>
      <c r="X4" s="128"/>
      <c r="Y4" s="128"/>
      <c r="Z4" s="128"/>
      <c r="AA4" s="128"/>
      <c r="AB4" s="128"/>
      <c r="AC4" s="182">
        <v>40544</v>
      </c>
      <c r="AD4" s="176">
        <f>IF($AG$1=0,"",IF($AG$1=1,AF4,IF($AG$1=2,AG4,IF($AG$1=3,AH4,IF($AG$1=4,AI4,IF($AG$1="x",AK4,"error"))))))</f>
        <v>0</v>
      </c>
      <c r="AE4" s="302"/>
      <c r="AF4" s="176"/>
      <c r="AG4" s="176"/>
      <c r="AH4" s="176"/>
      <c r="AI4" s="176"/>
      <c r="AJ4" s="128"/>
      <c r="AK4" s="114"/>
      <c r="AL4" s="182">
        <v>40544</v>
      </c>
      <c r="AM4" s="128"/>
      <c r="AN4" s="128"/>
      <c r="AO4" s="128"/>
    </row>
    <row r="5" spans="2:41" x14ac:dyDescent="0.2">
      <c r="B5" s="128"/>
      <c r="C5" s="180" t="s">
        <v>52</v>
      </c>
      <c r="D5" s="181" t="s">
        <v>62</v>
      </c>
      <c r="E5" s="128"/>
      <c r="F5" s="128"/>
      <c r="G5" s="128"/>
      <c r="H5" s="128"/>
      <c r="I5" s="128"/>
      <c r="J5" s="335"/>
      <c r="K5" s="128"/>
      <c r="L5" s="128"/>
      <c r="M5" s="128"/>
      <c r="N5" s="128"/>
      <c r="O5" s="128"/>
      <c r="P5" s="128"/>
      <c r="Q5" s="128"/>
      <c r="R5" s="128"/>
      <c r="S5" s="128"/>
      <c r="T5" s="128"/>
      <c r="U5" s="128"/>
      <c r="V5" s="128"/>
      <c r="W5" s="128"/>
      <c r="X5" s="128"/>
      <c r="Y5" s="128"/>
      <c r="Z5" s="128"/>
      <c r="AA5" s="128"/>
      <c r="AB5" s="128"/>
      <c r="AC5" s="182">
        <v>40558</v>
      </c>
      <c r="AD5" s="333">
        <f t="shared" ref="AD5:AD27" si="0">IF($AG$1=0,"",IF($AG$1=1,AF5,IF($AG$1=2,AG5,IF($AG$1=3,AH5,IF($AG$1=4,AI5,IF($AG$1="x",AK5,"error"))))))</f>
        <v>0</v>
      </c>
      <c r="AE5" s="302"/>
      <c r="AF5" s="176"/>
      <c r="AG5" s="176"/>
      <c r="AH5" s="176"/>
      <c r="AI5" s="176"/>
      <c r="AJ5" s="128"/>
      <c r="AK5" s="114"/>
      <c r="AL5" s="182">
        <v>40558</v>
      </c>
      <c r="AM5" s="128"/>
      <c r="AN5" s="128"/>
      <c r="AO5" s="128"/>
    </row>
    <row r="6" spans="2:41" x14ac:dyDescent="0.2">
      <c r="B6" s="128"/>
      <c r="C6" s="180" t="s">
        <v>53</v>
      </c>
      <c r="D6" s="181" t="s">
        <v>60</v>
      </c>
      <c r="E6" s="128"/>
      <c r="F6" s="128"/>
      <c r="G6" s="128"/>
      <c r="H6" s="128"/>
      <c r="I6" s="128"/>
      <c r="J6" s="335"/>
      <c r="K6" s="128"/>
      <c r="L6" s="128"/>
      <c r="M6" s="128"/>
      <c r="N6" s="128"/>
      <c r="O6" s="128"/>
      <c r="P6" s="128"/>
      <c r="Q6" s="128"/>
      <c r="R6" s="128"/>
      <c r="S6" s="128"/>
      <c r="T6" s="128"/>
      <c r="U6" s="128"/>
      <c r="V6" s="128"/>
      <c r="W6" s="128"/>
      <c r="X6" s="128"/>
      <c r="Y6" s="128"/>
      <c r="Z6" s="128"/>
      <c r="AA6" s="128"/>
      <c r="AB6" s="128"/>
      <c r="AC6" s="182">
        <v>40575</v>
      </c>
      <c r="AD6" s="333">
        <f t="shared" si="0"/>
        <v>0</v>
      </c>
      <c r="AE6" s="302"/>
      <c r="AF6" s="176"/>
      <c r="AG6" s="176"/>
      <c r="AH6" s="176"/>
      <c r="AI6" s="176"/>
      <c r="AJ6" s="128"/>
      <c r="AK6" s="114"/>
      <c r="AL6" s="182">
        <v>40575</v>
      </c>
      <c r="AM6" s="128"/>
      <c r="AN6" s="128"/>
      <c r="AO6" s="128"/>
    </row>
    <row r="7" spans="2:41" x14ac:dyDescent="0.2">
      <c r="B7" s="128"/>
      <c r="C7" s="180" t="s">
        <v>54</v>
      </c>
      <c r="D7" s="181" t="s">
        <v>61</v>
      </c>
      <c r="E7" s="128"/>
      <c r="F7" s="128"/>
      <c r="G7" s="128"/>
      <c r="H7" s="128"/>
      <c r="I7" s="128"/>
      <c r="J7" s="335"/>
      <c r="K7" s="128"/>
      <c r="L7" s="128"/>
      <c r="M7" s="128"/>
      <c r="N7" s="128"/>
      <c r="O7" s="128"/>
      <c r="P7" s="128"/>
      <c r="Q7" s="128"/>
      <c r="R7" s="128"/>
      <c r="S7" s="128"/>
      <c r="T7" s="128"/>
      <c r="U7" s="128"/>
      <c r="V7" s="128"/>
      <c r="W7" s="128"/>
      <c r="X7" s="128"/>
      <c r="Y7" s="128"/>
      <c r="Z7" s="128"/>
      <c r="AA7" s="128"/>
      <c r="AB7" s="128"/>
      <c r="AC7" s="182">
        <v>40589</v>
      </c>
      <c r="AD7" s="333">
        <f t="shared" si="0"/>
        <v>0</v>
      </c>
      <c r="AE7" s="302"/>
      <c r="AF7" s="176"/>
      <c r="AG7" s="176"/>
      <c r="AH7" s="176"/>
      <c r="AI7" s="176"/>
      <c r="AJ7" s="128"/>
      <c r="AK7" s="114"/>
      <c r="AL7" s="182">
        <v>40589</v>
      </c>
      <c r="AM7" s="128"/>
      <c r="AN7" s="128"/>
      <c r="AO7" s="128"/>
    </row>
    <row r="8" spans="2:41" x14ac:dyDescent="0.2">
      <c r="B8" s="128"/>
      <c r="C8" s="180" t="s">
        <v>55</v>
      </c>
      <c r="D8" s="181" t="s">
        <v>210</v>
      </c>
      <c r="E8" s="128"/>
      <c r="F8" s="128"/>
      <c r="G8" s="128"/>
      <c r="H8" s="128"/>
      <c r="I8" s="128"/>
      <c r="J8" s="335"/>
      <c r="K8" s="128"/>
      <c r="L8" s="128"/>
      <c r="M8" s="128"/>
      <c r="N8" s="128"/>
      <c r="O8" s="128"/>
      <c r="P8" s="128"/>
      <c r="Q8" s="128"/>
      <c r="R8" s="128"/>
      <c r="S8" s="128"/>
      <c r="T8" s="128"/>
      <c r="U8" s="128"/>
      <c r="V8" s="128"/>
      <c r="W8" s="128"/>
      <c r="X8" s="128"/>
      <c r="Y8" s="128"/>
      <c r="Z8" s="128"/>
      <c r="AA8" s="128"/>
      <c r="AB8" s="128"/>
      <c r="AC8" s="182">
        <v>40603</v>
      </c>
      <c r="AD8" s="333">
        <f t="shared" si="0"/>
        <v>0</v>
      </c>
      <c r="AE8" s="302"/>
      <c r="AF8" s="176"/>
      <c r="AG8" s="176"/>
      <c r="AH8" s="176"/>
      <c r="AI8" s="176"/>
      <c r="AJ8" s="128"/>
      <c r="AK8" s="114"/>
      <c r="AL8" s="182">
        <v>40603</v>
      </c>
      <c r="AM8" s="128"/>
      <c r="AN8" s="128"/>
      <c r="AO8" s="128"/>
    </row>
    <row r="9" spans="2:41" x14ac:dyDescent="0.2">
      <c r="B9" s="128"/>
      <c r="C9" s="180" t="s">
        <v>56</v>
      </c>
      <c r="D9" s="181" t="s">
        <v>64</v>
      </c>
      <c r="E9" s="128"/>
      <c r="F9" s="128"/>
      <c r="G9" s="128"/>
      <c r="H9" s="128"/>
      <c r="I9" s="128"/>
      <c r="J9" s="335"/>
      <c r="K9" s="128"/>
      <c r="L9" s="128"/>
      <c r="M9" s="128"/>
      <c r="N9" s="128"/>
      <c r="O9" s="128"/>
      <c r="P9" s="128"/>
      <c r="Q9" s="128"/>
      <c r="R9" s="128"/>
      <c r="S9" s="128"/>
      <c r="T9" s="128"/>
      <c r="U9" s="128"/>
      <c r="V9" s="128"/>
      <c r="W9" s="128"/>
      <c r="X9" s="128"/>
      <c r="Y9" s="128"/>
      <c r="Z9" s="128"/>
      <c r="AA9" s="128"/>
      <c r="AB9" s="128"/>
      <c r="AC9" s="182">
        <v>40617</v>
      </c>
      <c r="AD9" s="333">
        <f t="shared" si="0"/>
        <v>0</v>
      </c>
      <c r="AE9" s="302"/>
      <c r="AF9" s="176"/>
      <c r="AG9" s="176"/>
      <c r="AH9" s="176"/>
      <c r="AI9" s="176"/>
      <c r="AJ9" s="128"/>
      <c r="AK9" s="114"/>
      <c r="AL9" s="182">
        <v>40617</v>
      </c>
      <c r="AM9" s="128"/>
      <c r="AN9" s="128"/>
      <c r="AO9" s="128"/>
    </row>
    <row r="10" spans="2:41" x14ac:dyDescent="0.2">
      <c r="B10" s="128"/>
      <c r="C10" s="180" t="s">
        <v>57</v>
      </c>
      <c r="D10" s="181" t="s">
        <v>63</v>
      </c>
      <c r="E10" s="128"/>
      <c r="F10" s="128"/>
      <c r="G10" s="128"/>
      <c r="H10" s="128"/>
      <c r="I10" s="128"/>
      <c r="J10" s="335"/>
      <c r="K10" s="128"/>
      <c r="L10" s="128"/>
      <c r="M10" s="128"/>
      <c r="N10" s="128"/>
      <c r="O10" s="128"/>
      <c r="P10" s="128"/>
      <c r="Q10" s="128"/>
      <c r="R10" s="128"/>
      <c r="S10" s="128"/>
      <c r="T10" s="128"/>
      <c r="U10" s="128"/>
      <c r="V10" s="128"/>
      <c r="W10" s="128"/>
      <c r="X10" s="128"/>
      <c r="Y10" s="128"/>
      <c r="Z10" s="128"/>
      <c r="AA10" s="128"/>
      <c r="AB10" s="128"/>
      <c r="AC10" s="182">
        <v>40634</v>
      </c>
      <c r="AD10" s="333">
        <f t="shared" si="0"/>
        <v>0</v>
      </c>
      <c r="AE10" s="302"/>
      <c r="AF10" s="176"/>
      <c r="AG10" s="176"/>
      <c r="AH10" s="176"/>
      <c r="AI10" s="176"/>
      <c r="AJ10" s="128"/>
      <c r="AK10" s="114"/>
      <c r="AL10" s="182">
        <v>40634</v>
      </c>
      <c r="AM10" s="128"/>
      <c r="AN10" s="128"/>
      <c r="AO10" s="128"/>
    </row>
    <row r="11" spans="2:41" x14ac:dyDescent="0.2">
      <c r="B11" s="128"/>
      <c r="C11" s="180" t="s">
        <v>41</v>
      </c>
      <c r="D11" s="181" t="s">
        <v>65</v>
      </c>
      <c r="E11" s="128"/>
      <c r="F11" s="128"/>
      <c r="G11" s="128"/>
      <c r="H11" s="128"/>
      <c r="I11" s="128"/>
      <c r="J11" s="335"/>
      <c r="K11" s="128"/>
      <c r="L11" s="128"/>
      <c r="M11" s="128"/>
      <c r="N11" s="128"/>
      <c r="O11" s="128"/>
      <c r="P11" s="128"/>
      <c r="Q11" s="128"/>
      <c r="R11" s="128"/>
      <c r="S11" s="128"/>
      <c r="T11" s="128"/>
      <c r="U11" s="128"/>
      <c r="V11" s="128"/>
      <c r="W11" s="128"/>
      <c r="X11" s="128"/>
      <c r="Y11" s="128"/>
      <c r="Z11" s="128"/>
      <c r="AA11" s="128"/>
      <c r="AB11" s="128"/>
      <c r="AC11" s="182">
        <v>40648</v>
      </c>
      <c r="AD11" s="333">
        <f t="shared" si="0"/>
        <v>0</v>
      </c>
      <c r="AE11" s="302"/>
      <c r="AF11" s="176"/>
      <c r="AG11" s="176"/>
      <c r="AH11" s="176"/>
      <c r="AI11" s="176"/>
      <c r="AJ11" s="128"/>
      <c r="AK11" s="114"/>
      <c r="AL11" s="182">
        <v>40648</v>
      </c>
      <c r="AM11" s="128"/>
      <c r="AN11" s="128"/>
      <c r="AO11" s="128"/>
    </row>
    <row r="12" spans="2:41" x14ac:dyDescent="0.2">
      <c r="B12" s="128"/>
      <c r="C12" s="180" t="s">
        <v>58</v>
      </c>
      <c r="D12" s="181" t="s">
        <v>66</v>
      </c>
      <c r="E12" s="128"/>
      <c r="F12" s="128"/>
      <c r="G12" s="128"/>
      <c r="H12" s="128"/>
      <c r="I12" s="128"/>
      <c r="J12" s="335"/>
      <c r="K12" s="128"/>
      <c r="L12" s="128"/>
      <c r="M12" s="128"/>
      <c r="N12" s="128"/>
      <c r="O12" s="128"/>
      <c r="P12" s="128"/>
      <c r="Q12" s="128"/>
      <c r="R12" s="128"/>
      <c r="S12" s="128"/>
      <c r="T12" s="128"/>
      <c r="U12" s="128"/>
      <c r="V12" s="128"/>
      <c r="W12" s="128"/>
      <c r="X12" s="128"/>
      <c r="Y12" s="128"/>
      <c r="Z12" s="128"/>
      <c r="AA12" s="128"/>
      <c r="AB12" s="128"/>
      <c r="AC12" s="182">
        <v>40664</v>
      </c>
      <c r="AD12" s="333">
        <f t="shared" si="0"/>
        <v>0</v>
      </c>
      <c r="AE12" s="302"/>
      <c r="AF12" s="176"/>
      <c r="AG12" s="176"/>
      <c r="AH12" s="176"/>
      <c r="AI12" s="176"/>
      <c r="AJ12" s="128"/>
      <c r="AK12" s="114"/>
      <c r="AL12" s="182">
        <v>40664</v>
      </c>
      <c r="AM12" s="128"/>
      <c r="AN12" s="128"/>
      <c r="AO12" s="128"/>
    </row>
    <row r="13" spans="2:41" x14ac:dyDescent="0.2">
      <c r="B13" s="128"/>
      <c r="C13" s="177" t="s">
        <v>67</v>
      </c>
      <c r="D13" s="175"/>
      <c r="E13" s="128"/>
      <c r="F13" s="128"/>
      <c r="G13" s="128"/>
      <c r="H13" s="128"/>
      <c r="I13" s="128"/>
      <c r="J13" s="335"/>
      <c r="K13" s="128"/>
      <c r="L13" s="128"/>
      <c r="M13" s="128"/>
      <c r="N13" s="128"/>
      <c r="O13" s="128"/>
      <c r="P13" s="128"/>
      <c r="Q13" s="128"/>
      <c r="R13" s="128"/>
      <c r="S13" s="128"/>
      <c r="T13" s="128"/>
      <c r="U13" s="128"/>
      <c r="V13" s="128"/>
      <c r="W13" s="128"/>
      <c r="X13" s="128"/>
      <c r="Y13" s="128"/>
      <c r="Z13" s="128"/>
      <c r="AA13" s="128"/>
      <c r="AB13" s="128"/>
      <c r="AC13" s="182">
        <v>40678</v>
      </c>
      <c r="AD13" s="333">
        <f t="shared" si="0"/>
        <v>0</v>
      </c>
      <c r="AE13" s="302"/>
      <c r="AF13" s="176"/>
      <c r="AG13" s="176"/>
      <c r="AH13" s="176"/>
      <c r="AI13" s="176"/>
      <c r="AJ13" s="128"/>
      <c r="AK13" s="114"/>
      <c r="AL13" s="182">
        <v>40678</v>
      </c>
      <c r="AM13" s="128"/>
      <c r="AN13" s="128"/>
      <c r="AO13" s="128"/>
    </row>
    <row r="14" spans="2:41" x14ac:dyDescent="0.2">
      <c r="B14" s="128"/>
      <c r="C14" s="177" t="s">
        <v>68</v>
      </c>
      <c r="D14" s="175"/>
      <c r="E14" s="128"/>
      <c r="F14" s="128"/>
      <c r="G14" s="128"/>
      <c r="H14" s="128"/>
      <c r="I14" s="128"/>
      <c r="J14" s="335"/>
      <c r="K14" s="128"/>
      <c r="L14" s="128"/>
      <c r="M14" s="128"/>
      <c r="N14" s="128"/>
      <c r="O14" s="128"/>
      <c r="P14" s="128"/>
      <c r="Q14" s="128"/>
      <c r="R14" s="128"/>
      <c r="S14" s="128"/>
      <c r="T14" s="128"/>
      <c r="U14" s="128"/>
      <c r="V14" s="128"/>
      <c r="W14" s="128"/>
      <c r="X14" s="128"/>
      <c r="Y14" s="128"/>
      <c r="Z14" s="128"/>
      <c r="AA14" s="128"/>
      <c r="AB14" s="128"/>
      <c r="AC14" s="182">
        <v>40695</v>
      </c>
      <c r="AD14" s="333">
        <f t="shared" si="0"/>
        <v>10</v>
      </c>
      <c r="AE14" s="302">
        <v>0</v>
      </c>
      <c r="AF14" s="176">
        <v>5</v>
      </c>
      <c r="AG14" s="176">
        <v>10</v>
      </c>
      <c r="AH14" s="176">
        <v>10</v>
      </c>
      <c r="AI14" s="176">
        <v>20</v>
      </c>
      <c r="AJ14" s="128"/>
      <c r="AK14" s="114"/>
      <c r="AL14" s="182">
        <v>40695</v>
      </c>
      <c r="AN14" s="128"/>
      <c r="AO14" s="128"/>
    </row>
    <row r="15" spans="2:41" x14ac:dyDescent="0.2">
      <c r="B15" s="128"/>
      <c r="C15" s="181" t="s">
        <v>70</v>
      </c>
      <c r="D15" s="176"/>
      <c r="E15" s="128"/>
      <c r="F15" s="128"/>
      <c r="G15" s="128"/>
      <c r="H15" s="128"/>
      <c r="I15" s="128"/>
      <c r="J15" s="335"/>
      <c r="K15" s="128"/>
      <c r="L15" s="128"/>
      <c r="M15" s="128"/>
      <c r="N15" s="128"/>
      <c r="O15" s="128"/>
      <c r="P15" s="128"/>
      <c r="Q15" s="128"/>
      <c r="R15" s="128"/>
      <c r="S15" s="128"/>
      <c r="T15" s="128"/>
      <c r="U15" s="128"/>
      <c r="V15" s="128"/>
      <c r="W15" s="128"/>
      <c r="X15" s="128"/>
      <c r="Y15" s="128"/>
      <c r="Z15" s="128"/>
      <c r="AA15" s="128"/>
      <c r="AB15" s="128"/>
      <c r="AC15" s="182">
        <v>40709</v>
      </c>
      <c r="AD15" s="333">
        <f t="shared" si="0"/>
        <v>10</v>
      </c>
      <c r="AE15" s="302">
        <v>0</v>
      </c>
      <c r="AF15" s="176">
        <v>5</v>
      </c>
      <c r="AG15" s="176">
        <v>10</v>
      </c>
      <c r="AH15" s="176">
        <v>15</v>
      </c>
      <c r="AI15" s="176">
        <v>30</v>
      </c>
      <c r="AJ15" s="128"/>
      <c r="AK15" s="114">
        <v>10</v>
      </c>
      <c r="AL15" s="182">
        <v>40709</v>
      </c>
      <c r="AN15" s="128"/>
      <c r="AO15" s="128"/>
    </row>
    <row r="16" spans="2:41" x14ac:dyDescent="0.2">
      <c r="B16" s="128"/>
      <c r="C16" s="128" t="s">
        <v>71</v>
      </c>
      <c r="D16" s="176"/>
      <c r="E16" s="128"/>
      <c r="F16" s="128"/>
      <c r="G16" s="128"/>
      <c r="H16" s="128"/>
      <c r="I16" s="128"/>
      <c r="J16" s="335"/>
      <c r="K16" s="128"/>
      <c r="L16" s="128"/>
      <c r="M16" s="128"/>
      <c r="N16" s="128"/>
      <c r="O16" s="128"/>
      <c r="P16" s="128"/>
      <c r="Q16" s="128"/>
      <c r="R16" s="128"/>
      <c r="S16" s="128"/>
      <c r="T16" s="128"/>
      <c r="U16" s="128"/>
      <c r="V16" s="128"/>
      <c r="W16" s="128"/>
      <c r="X16" s="128"/>
      <c r="Y16" s="128"/>
      <c r="Z16" s="128"/>
      <c r="AA16" s="180"/>
      <c r="AB16" s="128"/>
      <c r="AC16" s="182">
        <v>40725</v>
      </c>
      <c r="AD16" s="333">
        <f t="shared" si="0"/>
        <v>21</v>
      </c>
      <c r="AE16" s="302">
        <v>0</v>
      </c>
      <c r="AF16" s="176">
        <v>15</v>
      </c>
      <c r="AG16" s="176">
        <v>21</v>
      </c>
      <c r="AH16" s="176">
        <v>35</v>
      </c>
      <c r="AI16" s="176">
        <v>45</v>
      </c>
      <c r="AJ16" s="128"/>
      <c r="AK16" s="114">
        <v>10</v>
      </c>
      <c r="AL16" s="182">
        <v>40725</v>
      </c>
      <c r="AN16" s="128"/>
      <c r="AO16" s="128"/>
    </row>
    <row r="17" spans="2:41" x14ac:dyDescent="0.2">
      <c r="B17" s="128"/>
      <c r="C17" s="181" t="s">
        <v>74</v>
      </c>
      <c r="D17" s="176"/>
      <c r="E17" s="128"/>
      <c r="F17" s="128"/>
      <c r="G17" s="128"/>
      <c r="H17" s="183" t="s">
        <v>80</v>
      </c>
      <c r="I17" s="114">
        <v>1500</v>
      </c>
      <c r="J17" s="335" t="s">
        <v>72</v>
      </c>
      <c r="K17" s="128"/>
      <c r="L17" s="128"/>
      <c r="M17" s="128"/>
      <c r="N17" s="128"/>
      <c r="O17" s="128"/>
      <c r="P17" s="185">
        <f>I17*20/4500</f>
        <v>6.666666666666667</v>
      </c>
      <c r="Q17" s="128" t="s">
        <v>245</v>
      </c>
      <c r="R17" s="128"/>
      <c r="S17" s="128"/>
      <c r="T17" s="128"/>
      <c r="U17" s="128"/>
      <c r="V17" s="128"/>
      <c r="W17" s="128"/>
      <c r="X17" s="128"/>
      <c r="Y17" s="128"/>
      <c r="Z17" s="128"/>
      <c r="AA17" s="180"/>
      <c r="AB17" s="128"/>
      <c r="AC17" s="182">
        <v>40739</v>
      </c>
      <c r="AD17" s="333">
        <f t="shared" si="0"/>
        <v>45</v>
      </c>
      <c r="AE17" s="302">
        <v>0</v>
      </c>
      <c r="AF17" s="176">
        <v>20</v>
      </c>
      <c r="AG17" s="176">
        <v>45</v>
      </c>
      <c r="AH17" s="176">
        <v>80</v>
      </c>
      <c r="AI17" s="176">
        <v>75</v>
      </c>
      <c r="AJ17" s="128"/>
      <c r="AK17" s="114">
        <v>20</v>
      </c>
      <c r="AL17" s="182">
        <v>40739</v>
      </c>
      <c r="AN17" s="128"/>
      <c r="AO17" s="128"/>
    </row>
    <row r="18" spans="2:41" x14ac:dyDescent="0.2">
      <c r="B18" s="128"/>
      <c r="C18" s="181" t="s">
        <v>69</v>
      </c>
      <c r="D18" s="176"/>
      <c r="E18" s="128"/>
      <c r="F18" s="128"/>
      <c r="G18" s="128"/>
      <c r="H18" s="128"/>
      <c r="I18" s="128"/>
      <c r="J18" s="335"/>
      <c r="K18" s="183" t="s">
        <v>73</v>
      </c>
      <c r="L18" s="128"/>
      <c r="M18" s="128"/>
      <c r="N18" s="128"/>
      <c r="O18" s="128"/>
      <c r="P18" s="128"/>
      <c r="Q18" s="128"/>
      <c r="R18" s="128"/>
      <c r="S18" s="128"/>
      <c r="T18" s="128"/>
      <c r="U18" s="128"/>
      <c r="V18" s="128"/>
      <c r="W18" s="128"/>
      <c r="X18" s="128"/>
      <c r="Y18" s="128"/>
      <c r="Z18" s="128"/>
      <c r="AA18" s="180"/>
      <c r="AB18" s="128"/>
      <c r="AC18" s="182">
        <v>40756</v>
      </c>
      <c r="AD18" s="333">
        <f t="shared" si="0"/>
        <v>130</v>
      </c>
      <c r="AE18" s="302">
        <v>0</v>
      </c>
      <c r="AF18" s="176">
        <v>50</v>
      </c>
      <c r="AG18" s="186">
        <v>130</v>
      </c>
      <c r="AH18" s="186">
        <v>200</v>
      </c>
      <c r="AI18" s="176">
        <v>250</v>
      </c>
      <c r="AJ18" s="128"/>
      <c r="AK18" s="114">
        <v>50</v>
      </c>
      <c r="AL18" s="182">
        <v>40756</v>
      </c>
      <c r="AN18" s="128"/>
      <c r="AO18" s="128"/>
    </row>
    <row r="19" spans="2:41" x14ac:dyDescent="0.2">
      <c r="B19" s="128"/>
      <c r="C19" s="181" t="s">
        <v>82</v>
      </c>
      <c r="D19" s="176"/>
      <c r="E19" s="128"/>
      <c r="F19" s="128"/>
      <c r="G19" s="128"/>
      <c r="H19" s="128"/>
      <c r="I19" s="128"/>
      <c r="J19" s="335"/>
      <c r="K19" s="128"/>
      <c r="L19" s="128"/>
      <c r="M19" s="128"/>
      <c r="N19" s="128"/>
      <c r="O19" s="128"/>
      <c r="P19" s="128"/>
      <c r="Q19" s="128"/>
      <c r="R19" s="128"/>
      <c r="S19" s="128"/>
      <c r="T19" s="128"/>
      <c r="U19" s="128"/>
      <c r="V19" s="128"/>
      <c r="W19" s="128"/>
      <c r="X19" s="128"/>
      <c r="Y19" s="128"/>
      <c r="Z19" s="128"/>
      <c r="AA19" s="180"/>
      <c r="AB19" s="128"/>
      <c r="AC19" s="182">
        <v>40770</v>
      </c>
      <c r="AD19" s="333">
        <f t="shared" si="0"/>
        <v>175</v>
      </c>
      <c r="AE19" s="302">
        <v>0</v>
      </c>
      <c r="AF19" s="176">
        <v>100</v>
      </c>
      <c r="AG19" s="186">
        <v>175</v>
      </c>
      <c r="AH19" s="186">
        <v>325</v>
      </c>
      <c r="AI19" s="176">
        <v>500</v>
      </c>
      <c r="AJ19" s="128"/>
      <c r="AK19" s="114">
        <v>100</v>
      </c>
      <c r="AL19" s="182">
        <v>40770</v>
      </c>
      <c r="AN19" s="128"/>
      <c r="AO19" s="128"/>
    </row>
    <row r="20" spans="2:41" ht="12.95" customHeight="1" x14ac:dyDescent="0.2">
      <c r="C20" s="181" t="s">
        <v>75</v>
      </c>
      <c r="D20" s="176"/>
      <c r="E20" s="128"/>
      <c r="F20" s="158">
        <f>I17*35</f>
        <v>52500</v>
      </c>
      <c r="G20" s="128" t="s">
        <v>76</v>
      </c>
      <c r="H20" s="128"/>
      <c r="I20" s="128"/>
      <c r="J20" s="336">
        <f>F20/2000</f>
        <v>26.25</v>
      </c>
      <c r="K20" s="128" t="s">
        <v>77</v>
      </c>
      <c r="L20" s="128"/>
      <c r="M20" s="128"/>
      <c r="N20" s="128"/>
      <c r="O20" s="128"/>
      <c r="P20" s="128"/>
      <c r="Q20" s="128"/>
      <c r="R20" s="128"/>
      <c r="S20" s="128"/>
      <c r="T20" s="128"/>
      <c r="U20" s="128"/>
      <c r="V20" s="128"/>
      <c r="W20" s="128"/>
      <c r="X20" s="128"/>
      <c r="Y20" s="128"/>
      <c r="Z20" s="128"/>
      <c r="AA20" s="180"/>
      <c r="AB20" s="128"/>
      <c r="AC20" s="182">
        <v>40787</v>
      </c>
      <c r="AD20" s="333">
        <f t="shared" si="0"/>
        <v>210</v>
      </c>
      <c r="AE20" s="302">
        <v>0</v>
      </c>
      <c r="AF20" s="176">
        <v>125</v>
      </c>
      <c r="AG20" s="186">
        <v>210</v>
      </c>
      <c r="AH20" s="186">
        <v>375</v>
      </c>
      <c r="AI20" s="176">
        <v>600</v>
      </c>
      <c r="AJ20" s="128"/>
      <c r="AK20" s="114">
        <v>250</v>
      </c>
      <c r="AL20" s="182">
        <v>40787</v>
      </c>
      <c r="AN20" s="128"/>
      <c r="AO20" s="128"/>
    </row>
    <row r="21" spans="2:41" ht="12.95" customHeight="1" x14ac:dyDescent="0.2">
      <c r="B21" s="496" t="s">
        <v>310</v>
      </c>
      <c r="C21" s="181" t="s">
        <v>244</v>
      </c>
      <c r="D21" s="176"/>
      <c r="E21" s="128"/>
      <c r="F21" s="187"/>
      <c r="G21" s="128"/>
      <c r="H21" s="128"/>
      <c r="I21" s="128"/>
      <c r="J21" s="337"/>
      <c r="K21" s="128"/>
      <c r="L21" s="128"/>
      <c r="M21" s="128"/>
      <c r="N21" s="128"/>
      <c r="O21" s="128"/>
      <c r="P21" s="128"/>
      <c r="Q21" s="128"/>
      <c r="R21" s="128"/>
      <c r="S21" s="128"/>
      <c r="T21" s="128"/>
      <c r="U21" s="128"/>
      <c r="V21" s="128"/>
      <c r="W21" s="128"/>
      <c r="X21" s="128"/>
      <c r="Y21" s="128"/>
      <c r="Z21" s="128"/>
      <c r="AA21" s="180"/>
      <c r="AB21" s="128"/>
      <c r="AC21" s="182">
        <v>40801</v>
      </c>
      <c r="AD21" s="333">
        <f t="shared" si="0"/>
        <v>180</v>
      </c>
      <c r="AE21" s="302">
        <v>0</v>
      </c>
      <c r="AF21" s="176">
        <v>100</v>
      </c>
      <c r="AG21" s="186">
        <v>180</v>
      </c>
      <c r="AH21" s="186">
        <v>335</v>
      </c>
      <c r="AI21" s="176">
        <v>500</v>
      </c>
      <c r="AJ21" s="128"/>
      <c r="AK21" s="114">
        <v>750</v>
      </c>
      <c r="AL21" s="182">
        <v>40801</v>
      </c>
      <c r="AN21" s="128"/>
      <c r="AO21" s="128"/>
    </row>
    <row r="22" spans="2:41" ht="12.95" customHeight="1" x14ac:dyDescent="0.2">
      <c r="B22" s="496"/>
      <c r="C22" s="188" t="s">
        <v>81</v>
      </c>
      <c r="D22" s="176"/>
      <c r="E22" s="128"/>
      <c r="F22" s="187"/>
      <c r="G22" s="128"/>
      <c r="H22" s="128"/>
      <c r="I22" s="128"/>
      <c r="J22" s="337"/>
      <c r="K22" s="128"/>
      <c r="L22" s="128"/>
      <c r="M22" s="128"/>
      <c r="N22" s="128"/>
      <c r="O22" s="128"/>
      <c r="P22" s="128"/>
      <c r="Q22" s="128"/>
      <c r="R22" s="128"/>
      <c r="S22" s="128"/>
      <c r="T22" s="128"/>
      <c r="U22" s="128"/>
      <c r="V22" s="128"/>
      <c r="W22" s="128"/>
      <c r="X22" s="128"/>
      <c r="Y22" s="128"/>
      <c r="Z22" s="128"/>
      <c r="AA22" s="180"/>
      <c r="AB22" s="128"/>
      <c r="AC22" s="182">
        <v>40817</v>
      </c>
      <c r="AD22" s="333">
        <f t="shared" si="0"/>
        <v>130</v>
      </c>
      <c r="AE22" s="302">
        <v>0</v>
      </c>
      <c r="AF22" s="176">
        <v>50</v>
      </c>
      <c r="AG22" s="186">
        <v>130</v>
      </c>
      <c r="AH22" s="186">
        <v>250</v>
      </c>
      <c r="AI22" s="176">
        <v>300</v>
      </c>
      <c r="AJ22" s="128"/>
      <c r="AK22" s="114">
        <v>300</v>
      </c>
      <c r="AL22" s="182">
        <v>40817</v>
      </c>
      <c r="AN22" s="128"/>
      <c r="AO22" s="128"/>
    </row>
    <row r="23" spans="2:41" ht="12.95" customHeight="1" x14ac:dyDescent="0.2">
      <c r="B23" s="496"/>
      <c r="C23" s="175" t="s">
        <v>78</v>
      </c>
      <c r="D23" s="176"/>
      <c r="E23" s="128"/>
      <c r="F23" s="187"/>
      <c r="G23" s="128"/>
      <c r="H23" s="128"/>
      <c r="I23" s="128"/>
      <c r="J23" s="335"/>
      <c r="K23" s="128"/>
      <c r="L23" s="128"/>
      <c r="M23" s="128"/>
      <c r="N23" s="128"/>
      <c r="O23" s="128"/>
      <c r="P23" s="128"/>
      <c r="Q23" s="128"/>
      <c r="R23" s="128"/>
      <c r="S23" s="128"/>
      <c r="T23" s="128"/>
      <c r="U23" s="128"/>
      <c r="V23" s="128"/>
      <c r="W23" s="128"/>
      <c r="X23" s="128"/>
      <c r="Y23" s="128"/>
      <c r="Z23" s="128"/>
      <c r="AA23" s="180"/>
      <c r="AB23" s="128"/>
      <c r="AC23" s="182">
        <v>40831</v>
      </c>
      <c r="AD23" s="333">
        <f t="shared" si="0"/>
        <v>75</v>
      </c>
      <c r="AE23" s="302">
        <v>0</v>
      </c>
      <c r="AF23" s="176">
        <v>25</v>
      </c>
      <c r="AG23" s="186">
        <v>75</v>
      </c>
      <c r="AH23" s="186">
        <v>100</v>
      </c>
      <c r="AI23" s="176">
        <v>150</v>
      </c>
      <c r="AJ23" s="128"/>
      <c r="AK23" s="114">
        <v>200</v>
      </c>
      <c r="AL23" s="182">
        <v>40831</v>
      </c>
      <c r="AN23" s="128"/>
      <c r="AO23" s="128"/>
    </row>
    <row r="24" spans="2:41" ht="12.95" customHeight="1" x14ac:dyDescent="0.2">
      <c r="B24" s="496"/>
      <c r="C24" s="181" t="s">
        <v>79</v>
      </c>
      <c r="D24" s="176"/>
      <c r="E24" s="128"/>
      <c r="F24" s="187"/>
      <c r="G24" s="128"/>
      <c r="H24" s="128"/>
      <c r="I24" s="128"/>
      <c r="J24" s="335"/>
      <c r="K24" s="128"/>
      <c r="L24" s="128"/>
      <c r="M24" s="128"/>
      <c r="N24" s="128"/>
      <c r="O24" s="128"/>
      <c r="P24" s="128"/>
      <c r="Q24" s="128"/>
      <c r="R24" s="128"/>
      <c r="S24" s="128"/>
      <c r="T24" s="128"/>
      <c r="U24" s="128"/>
      <c r="V24" s="128"/>
      <c r="W24" s="128"/>
      <c r="X24" s="128"/>
      <c r="Y24" s="128"/>
      <c r="Z24" s="128"/>
      <c r="AA24" s="180"/>
      <c r="AB24" s="128"/>
      <c r="AC24" s="182">
        <v>40848</v>
      </c>
      <c r="AD24" s="333">
        <f t="shared" si="0"/>
        <v>14</v>
      </c>
      <c r="AE24" s="302">
        <v>0</v>
      </c>
      <c r="AF24" s="176">
        <v>5</v>
      </c>
      <c r="AG24" s="186">
        <v>14</v>
      </c>
      <c r="AH24" s="186">
        <v>25</v>
      </c>
      <c r="AI24" s="176">
        <v>30</v>
      </c>
      <c r="AJ24" s="128"/>
      <c r="AK24" s="114">
        <v>50</v>
      </c>
      <c r="AL24" s="182">
        <v>40848</v>
      </c>
      <c r="AN24" s="128"/>
      <c r="AO24" s="128"/>
    </row>
    <row r="25" spans="2:41" x14ac:dyDescent="0.2">
      <c r="B25" s="496"/>
      <c r="C25" s="311" t="s">
        <v>316</v>
      </c>
      <c r="D25" s="176"/>
      <c r="E25" s="128"/>
      <c r="F25" s="187"/>
      <c r="G25" s="128"/>
      <c r="H25" s="128"/>
      <c r="I25" s="128"/>
      <c r="J25" s="335"/>
      <c r="K25" s="128"/>
      <c r="L25" s="128"/>
      <c r="M25" s="189"/>
      <c r="N25" s="128" t="s">
        <v>217</v>
      </c>
      <c r="O25" s="128"/>
      <c r="Q25" s="128"/>
      <c r="R25" s="128"/>
      <c r="S25" s="128"/>
      <c r="T25" s="128"/>
      <c r="U25" s="128"/>
      <c r="V25" s="128"/>
      <c r="W25" s="128"/>
      <c r="X25" s="128"/>
      <c r="Y25" s="128"/>
      <c r="Z25" s="128"/>
      <c r="AA25" s="180"/>
      <c r="AB25" s="128"/>
      <c r="AC25" s="182">
        <v>40862</v>
      </c>
      <c r="AD25" s="333">
        <f t="shared" si="0"/>
        <v>0</v>
      </c>
      <c r="AE25" s="302"/>
      <c r="AF25" s="176"/>
      <c r="AG25" s="186"/>
      <c r="AH25" s="186"/>
      <c r="AI25" s="176"/>
      <c r="AJ25" s="128"/>
      <c r="AK25" s="357">
        <v>10</v>
      </c>
      <c r="AL25" s="182">
        <v>40862</v>
      </c>
      <c r="AN25" s="128"/>
      <c r="AO25" s="128"/>
    </row>
    <row r="26" spans="2:41" x14ac:dyDescent="0.2">
      <c r="B26" s="496"/>
      <c r="C26" s="181"/>
      <c r="D26" s="176"/>
      <c r="E26" s="128"/>
      <c r="F26" s="187"/>
      <c r="G26" s="128"/>
      <c r="H26" s="128"/>
      <c r="I26" s="128"/>
      <c r="J26" s="335"/>
      <c r="K26" s="128"/>
      <c r="L26" s="128"/>
      <c r="M26" s="189"/>
      <c r="N26" s="189"/>
      <c r="O26" s="128"/>
      <c r="P26" s="128"/>
      <c r="Q26" s="128"/>
      <c r="R26" s="128"/>
      <c r="S26" s="128"/>
      <c r="T26" s="128"/>
      <c r="U26" s="128"/>
      <c r="V26" s="128"/>
      <c r="W26" s="128"/>
      <c r="X26" s="128"/>
      <c r="Y26" s="128"/>
      <c r="Z26" s="128"/>
      <c r="AA26" s="180"/>
      <c r="AB26" s="190"/>
      <c r="AC26" s="182">
        <v>40878</v>
      </c>
      <c r="AD26" s="333">
        <f t="shared" si="0"/>
        <v>0</v>
      </c>
      <c r="AE26" s="302"/>
      <c r="AF26" s="176"/>
      <c r="AG26" s="186"/>
      <c r="AH26" s="186"/>
      <c r="AI26" s="176"/>
      <c r="AJ26" s="128"/>
      <c r="AK26" s="357"/>
      <c r="AL26" s="182">
        <v>40878</v>
      </c>
      <c r="AN26" s="128"/>
      <c r="AO26" s="128"/>
    </row>
    <row r="27" spans="2:41" x14ac:dyDescent="0.2">
      <c r="B27" s="497"/>
      <c r="C27" s="191"/>
      <c r="D27" s="334"/>
      <c r="E27" s="192"/>
      <c r="F27" s="192"/>
      <c r="G27" s="192"/>
      <c r="H27" s="192"/>
      <c r="I27" s="192"/>
      <c r="J27" s="345"/>
      <c r="K27" s="192"/>
      <c r="L27" s="192"/>
      <c r="M27" s="192"/>
      <c r="N27" s="192"/>
      <c r="O27" s="192"/>
      <c r="P27" s="192"/>
      <c r="Q27" s="192"/>
      <c r="R27" s="192"/>
      <c r="S27" s="192"/>
      <c r="T27" s="192"/>
      <c r="U27" s="192"/>
      <c r="V27" s="192"/>
      <c r="W27" s="192"/>
      <c r="X27" s="192"/>
      <c r="Y27" s="192"/>
      <c r="Z27" s="192"/>
      <c r="AA27" s="191"/>
      <c r="AB27" s="192"/>
      <c r="AC27" s="182">
        <v>40892</v>
      </c>
      <c r="AD27" s="333">
        <f t="shared" si="0"/>
        <v>0</v>
      </c>
      <c r="AE27" s="302"/>
      <c r="AF27" s="176"/>
      <c r="AG27" s="186"/>
      <c r="AH27" s="186"/>
      <c r="AI27" s="176"/>
      <c r="AJ27" s="128"/>
      <c r="AK27" s="357"/>
      <c r="AL27" s="182">
        <v>40892</v>
      </c>
      <c r="AM27" s="128"/>
      <c r="AN27" s="128"/>
      <c r="AO27" s="128"/>
    </row>
    <row r="28" spans="2:41" x14ac:dyDescent="0.2">
      <c r="B28" s="495" t="s">
        <v>335</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210"/>
      <c r="AD28" s="333"/>
      <c r="AE28" s="333"/>
      <c r="AF28" s="333"/>
      <c r="AG28" s="186"/>
      <c r="AH28" s="186"/>
      <c r="AI28" s="333"/>
      <c r="AJ28" s="128"/>
      <c r="AK28" s="186"/>
      <c r="AL28" s="128"/>
      <c r="AM28" s="128"/>
      <c r="AN28" s="128"/>
      <c r="AO28" s="128"/>
    </row>
    <row r="29" spans="2:41" x14ac:dyDescent="0.2">
      <c r="B29" s="346"/>
      <c r="C29" s="346"/>
      <c r="D29" s="347"/>
      <c r="E29" s="346"/>
      <c r="F29" s="346"/>
      <c r="G29" s="193"/>
      <c r="H29" s="348"/>
      <c r="I29" s="128"/>
      <c r="J29" s="335"/>
      <c r="K29" s="192"/>
      <c r="L29" s="128"/>
      <c r="M29" s="128"/>
      <c r="N29" s="128"/>
      <c r="O29" s="128"/>
      <c r="P29" s="192"/>
      <c r="Q29" s="192"/>
      <c r="R29" s="128"/>
      <c r="S29" s="128"/>
      <c r="T29" s="128"/>
      <c r="U29" s="128"/>
      <c r="V29" s="128"/>
      <c r="W29" s="128"/>
      <c r="X29" s="128"/>
      <c r="Y29" s="128"/>
      <c r="Z29" s="128"/>
      <c r="AA29" s="128"/>
      <c r="AB29" s="128"/>
      <c r="AC29" s="128"/>
      <c r="AD29" s="194" t="s">
        <v>308</v>
      </c>
      <c r="AE29" s="194"/>
      <c r="AF29" s="180">
        <f>SUM(AF4:AF27)</f>
        <v>500</v>
      </c>
      <c r="AG29" s="180">
        <f>SUM(AG4:AG27)</f>
        <v>1000</v>
      </c>
      <c r="AH29" s="180">
        <f>SUM(AH4:AH27)</f>
        <v>1750</v>
      </c>
      <c r="AI29" s="180">
        <f>SUM(AI4:AI27)</f>
        <v>2500</v>
      </c>
      <c r="AJ29" s="128"/>
      <c r="AK29" s="180">
        <f>SUM(AK4:AK27)</f>
        <v>1750</v>
      </c>
      <c r="AL29" s="128"/>
      <c r="AM29" s="128"/>
      <c r="AN29" s="128"/>
      <c r="AO29" s="128"/>
    </row>
    <row r="30" spans="2:41" ht="191.25" x14ac:dyDescent="0.4">
      <c r="B30" s="305" t="s">
        <v>246</v>
      </c>
      <c r="C30" s="196" t="s">
        <v>45</v>
      </c>
      <c r="D30" s="196" t="s">
        <v>46</v>
      </c>
      <c r="E30" s="197" t="s">
        <v>38</v>
      </c>
      <c r="F30" s="198" t="s">
        <v>39</v>
      </c>
      <c r="G30" s="199" t="s">
        <v>84</v>
      </c>
      <c r="H30" s="200" t="s">
        <v>86</v>
      </c>
      <c r="I30" s="201" t="s">
        <v>85</v>
      </c>
      <c r="J30" s="338" t="s">
        <v>40</v>
      </c>
      <c r="K30" s="128"/>
      <c r="L30" s="200" t="s">
        <v>42</v>
      </c>
      <c r="M30" s="198" t="s">
        <v>43</v>
      </c>
      <c r="N30" s="202" t="s">
        <v>87</v>
      </c>
      <c r="O30" s="128"/>
      <c r="P30" s="128"/>
      <c r="Q30" s="203"/>
      <c r="R30" s="203"/>
      <c r="S30" s="203"/>
      <c r="T30" s="203"/>
      <c r="U30" s="128"/>
      <c r="V30" s="128"/>
      <c r="W30" s="128"/>
      <c r="X30" s="128"/>
      <c r="Y30" s="128"/>
      <c r="Z30" s="128"/>
      <c r="AA30" s="128"/>
      <c r="AB30" s="128"/>
      <c r="AC30" s="128"/>
      <c r="AD30" s="128"/>
      <c r="AE30" s="128"/>
      <c r="AF30" s="356"/>
      <c r="AG30" s="128"/>
      <c r="AH30" s="128"/>
      <c r="AI30" s="128"/>
      <c r="AJ30" s="128"/>
      <c r="AK30" s="128"/>
      <c r="AL30" s="128"/>
      <c r="AM30" s="128"/>
      <c r="AN30" s="128"/>
      <c r="AO30" s="128"/>
    </row>
    <row r="31" spans="2:41" ht="12.75" customHeight="1" x14ac:dyDescent="0.2">
      <c r="B31" s="493"/>
      <c r="C31" s="114">
        <v>1</v>
      </c>
      <c r="D31" s="114"/>
      <c r="E31" s="182">
        <v>40544</v>
      </c>
      <c r="F31" s="114">
        <v>0</v>
      </c>
      <c r="G31" s="204">
        <f t="shared" ref="G31:G54" si="1">M31/20</f>
        <v>0</v>
      </c>
      <c r="H31" s="114">
        <v>8</v>
      </c>
      <c r="I31" s="205"/>
      <c r="J31" s="339">
        <v>0</v>
      </c>
      <c r="K31" s="128"/>
      <c r="L31" s="205">
        <f>H31*$M$2</f>
        <v>16000</v>
      </c>
      <c r="M31" s="205">
        <f>F31*$M$3</f>
        <v>0</v>
      </c>
      <c r="N31" s="207">
        <f t="shared" ref="N31:N54" si="2">J31*100</f>
        <v>0</v>
      </c>
      <c r="O31" s="128"/>
      <c r="W31" s="128"/>
      <c r="X31" s="128"/>
      <c r="Y31" s="128"/>
      <c r="Z31" s="128"/>
      <c r="AA31" s="128"/>
      <c r="AB31" s="128"/>
      <c r="AC31" s="128"/>
      <c r="AD31" s="128"/>
      <c r="AE31" s="128"/>
      <c r="AF31" s="128"/>
      <c r="AG31" s="128"/>
      <c r="AH31" s="128"/>
      <c r="AI31" s="128"/>
      <c r="AJ31" s="128"/>
      <c r="AK31" s="128"/>
      <c r="AL31" s="128"/>
      <c r="AM31" s="128"/>
      <c r="AN31" s="128"/>
      <c r="AO31" s="128"/>
    </row>
    <row r="32" spans="2:41" ht="12.75" customHeight="1" x14ac:dyDescent="0.2">
      <c r="B32" s="493"/>
      <c r="C32" s="114">
        <v>1</v>
      </c>
      <c r="D32" s="114"/>
      <c r="E32" s="182">
        <v>40558</v>
      </c>
      <c r="F32" s="114">
        <v>0.25</v>
      </c>
      <c r="G32" s="204">
        <f t="shared" si="1"/>
        <v>56.25</v>
      </c>
      <c r="H32" s="114">
        <v>8</v>
      </c>
      <c r="I32" s="204">
        <f t="shared" ref="I32:I54" si="3">(L32-L31)/15</f>
        <v>0</v>
      </c>
      <c r="J32" s="339">
        <v>0</v>
      </c>
      <c r="K32" s="128"/>
      <c r="L32" s="358">
        <f t="shared" ref="L32:L55" si="4">H32*$M$2</f>
        <v>16000</v>
      </c>
      <c r="M32" s="205">
        <f t="shared" ref="M32:M54" si="5">F32*$M$3</f>
        <v>1125</v>
      </c>
      <c r="N32" s="207">
        <f t="shared" si="2"/>
        <v>0</v>
      </c>
      <c r="O32" s="128"/>
      <c r="W32" s="128"/>
      <c r="X32" s="128"/>
      <c r="Y32" s="128"/>
      <c r="Z32" s="128"/>
      <c r="AA32" s="128"/>
      <c r="AB32" s="128"/>
      <c r="AC32" s="128"/>
      <c r="AD32" s="128"/>
      <c r="AE32" s="128"/>
      <c r="AF32" s="128"/>
      <c r="AG32" s="128"/>
      <c r="AH32" s="128"/>
      <c r="AI32" s="128"/>
      <c r="AJ32" s="128"/>
      <c r="AK32" s="128"/>
      <c r="AL32" s="128"/>
      <c r="AM32" s="128"/>
      <c r="AN32" s="128"/>
      <c r="AO32" s="128"/>
    </row>
    <row r="33" spans="2:41" ht="12.75" customHeight="1" x14ac:dyDescent="0.2">
      <c r="B33" s="493"/>
      <c r="C33" s="114">
        <v>1</v>
      </c>
      <c r="D33" s="114"/>
      <c r="E33" s="182">
        <v>40575</v>
      </c>
      <c r="F33" s="114">
        <v>0.5</v>
      </c>
      <c r="G33" s="204">
        <f t="shared" si="1"/>
        <v>112.5</v>
      </c>
      <c r="H33" s="114">
        <v>8</v>
      </c>
      <c r="I33" s="204">
        <f t="shared" si="3"/>
        <v>0</v>
      </c>
      <c r="J33" s="339">
        <v>0</v>
      </c>
      <c r="K33" s="128"/>
      <c r="L33" s="358">
        <f t="shared" si="4"/>
        <v>16000</v>
      </c>
      <c r="M33" s="205">
        <f t="shared" si="5"/>
        <v>2250</v>
      </c>
      <c r="N33" s="207">
        <f t="shared" si="2"/>
        <v>0</v>
      </c>
      <c r="O33" s="128"/>
      <c r="W33" s="128"/>
      <c r="X33" s="128"/>
      <c r="Y33" s="128"/>
      <c r="Z33" s="128"/>
      <c r="AA33" s="128"/>
      <c r="AB33" s="128"/>
      <c r="AC33" s="128"/>
      <c r="AD33" s="128"/>
      <c r="AE33" s="128"/>
      <c r="AF33" s="128"/>
      <c r="AG33" s="128"/>
      <c r="AH33" s="128"/>
      <c r="AI33" s="128"/>
      <c r="AJ33" s="128"/>
      <c r="AK33" s="128"/>
      <c r="AL33" s="128"/>
      <c r="AM33" s="128"/>
      <c r="AN33" s="128"/>
      <c r="AO33" s="128"/>
    </row>
    <row r="34" spans="2:41" ht="12.75" customHeight="1" x14ac:dyDescent="0.2">
      <c r="B34" s="493"/>
      <c r="C34" s="114">
        <v>1</v>
      </c>
      <c r="D34" s="114"/>
      <c r="E34" s="182">
        <v>40589</v>
      </c>
      <c r="F34" s="114">
        <v>0.5</v>
      </c>
      <c r="G34" s="204">
        <f t="shared" si="1"/>
        <v>112.5</v>
      </c>
      <c r="H34" s="114">
        <v>7</v>
      </c>
      <c r="I34" s="204">
        <f t="shared" si="3"/>
        <v>-133.33333333333334</v>
      </c>
      <c r="J34" s="339">
        <v>0</v>
      </c>
      <c r="K34" s="128"/>
      <c r="L34" s="358">
        <f t="shared" si="4"/>
        <v>14000</v>
      </c>
      <c r="M34" s="205">
        <f t="shared" si="5"/>
        <v>2250</v>
      </c>
      <c r="N34" s="207">
        <f t="shared" si="2"/>
        <v>0</v>
      </c>
      <c r="O34" s="128"/>
      <c r="W34" s="128"/>
      <c r="X34" s="128"/>
      <c r="Y34" s="128"/>
      <c r="Z34" s="128"/>
      <c r="AA34" s="128"/>
      <c r="AB34" s="128"/>
      <c r="AC34" s="128"/>
      <c r="AD34" s="128"/>
      <c r="AE34" s="128"/>
      <c r="AF34" s="128"/>
      <c r="AG34" s="128"/>
      <c r="AH34" s="128"/>
      <c r="AI34" s="128"/>
      <c r="AJ34" s="128"/>
      <c r="AK34" s="128"/>
      <c r="AL34" s="128"/>
      <c r="AM34" s="128"/>
      <c r="AN34" s="128"/>
      <c r="AO34" s="128"/>
    </row>
    <row r="35" spans="2:41" ht="12.75" customHeight="1" x14ac:dyDescent="0.2">
      <c r="B35" s="493"/>
      <c r="C35" s="114">
        <v>1</v>
      </c>
      <c r="D35" s="114"/>
      <c r="E35" s="182">
        <v>40603</v>
      </c>
      <c r="F35" s="114">
        <v>1</v>
      </c>
      <c r="G35" s="204">
        <f t="shared" si="1"/>
        <v>225</v>
      </c>
      <c r="H35" s="114">
        <v>7</v>
      </c>
      <c r="I35" s="204">
        <f t="shared" si="3"/>
        <v>0</v>
      </c>
      <c r="J35" s="339">
        <v>0</v>
      </c>
      <c r="K35" s="128"/>
      <c r="L35" s="358">
        <f t="shared" si="4"/>
        <v>14000</v>
      </c>
      <c r="M35" s="205">
        <f t="shared" si="5"/>
        <v>4500</v>
      </c>
      <c r="N35" s="207">
        <f t="shared" si="2"/>
        <v>0</v>
      </c>
      <c r="O35" s="128"/>
      <c r="W35" s="128"/>
      <c r="X35" s="128"/>
      <c r="Y35" s="128"/>
      <c r="Z35" s="128"/>
      <c r="AA35" s="128"/>
      <c r="AB35" s="128"/>
      <c r="AC35" s="128"/>
      <c r="AD35" s="128"/>
      <c r="AE35" s="128"/>
      <c r="AF35" s="128"/>
      <c r="AG35" s="128"/>
      <c r="AH35" s="128"/>
      <c r="AI35" s="128"/>
      <c r="AJ35" s="128"/>
      <c r="AK35" s="128"/>
      <c r="AL35" s="128"/>
      <c r="AM35" s="128"/>
      <c r="AN35" s="128"/>
      <c r="AO35" s="128"/>
    </row>
    <row r="36" spans="2:41" ht="12.75" customHeight="1" x14ac:dyDescent="0.2">
      <c r="B36" s="493"/>
      <c r="C36" s="114">
        <v>1</v>
      </c>
      <c r="D36" s="114"/>
      <c r="E36" s="182">
        <v>40617</v>
      </c>
      <c r="F36" s="114">
        <v>2</v>
      </c>
      <c r="G36" s="204">
        <f t="shared" si="1"/>
        <v>450</v>
      </c>
      <c r="H36" s="114">
        <v>6</v>
      </c>
      <c r="I36" s="204">
        <f t="shared" si="3"/>
        <v>-133.33333333333334</v>
      </c>
      <c r="J36" s="339">
        <v>0</v>
      </c>
      <c r="K36" s="128"/>
      <c r="L36" s="358">
        <f t="shared" si="4"/>
        <v>12000</v>
      </c>
      <c r="M36" s="205">
        <f t="shared" si="5"/>
        <v>9000</v>
      </c>
      <c r="N36" s="207">
        <f t="shared" si="2"/>
        <v>0</v>
      </c>
      <c r="O36" s="128"/>
      <c r="W36" s="128"/>
      <c r="X36" s="128"/>
      <c r="Y36" s="128"/>
      <c r="Z36" s="128"/>
      <c r="AA36" s="128"/>
      <c r="AB36" s="128"/>
      <c r="AC36" s="128"/>
      <c r="AD36" s="128"/>
      <c r="AE36" s="128"/>
      <c r="AF36" s="128"/>
      <c r="AG36" s="128"/>
      <c r="AH36" s="128"/>
      <c r="AI36" s="128"/>
      <c r="AJ36" s="128"/>
      <c r="AK36" s="128"/>
      <c r="AL36" s="128"/>
      <c r="AM36" s="128"/>
      <c r="AN36" s="128"/>
      <c r="AO36" s="128"/>
    </row>
    <row r="37" spans="2:41" ht="12.75" customHeight="1" x14ac:dyDescent="0.2">
      <c r="B37" s="493"/>
      <c r="C37" s="114"/>
      <c r="D37" s="114">
        <v>1</v>
      </c>
      <c r="E37" s="182">
        <v>40634</v>
      </c>
      <c r="F37" s="114">
        <v>3</v>
      </c>
      <c r="G37" s="204">
        <f t="shared" si="1"/>
        <v>675</v>
      </c>
      <c r="H37" s="114">
        <v>6</v>
      </c>
      <c r="I37" s="204">
        <f t="shared" si="3"/>
        <v>0</v>
      </c>
      <c r="J37" s="339">
        <v>0.03</v>
      </c>
      <c r="K37" s="128"/>
      <c r="L37" s="358">
        <f t="shared" si="4"/>
        <v>12000</v>
      </c>
      <c r="M37" s="205">
        <f t="shared" si="5"/>
        <v>13500</v>
      </c>
      <c r="N37" s="207">
        <v>0</v>
      </c>
      <c r="O37" s="128"/>
      <c r="W37" s="128"/>
      <c r="X37" s="128"/>
      <c r="Y37" s="128"/>
      <c r="Z37" s="128"/>
      <c r="AA37" s="128"/>
      <c r="AB37" s="128"/>
      <c r="AC37" s="128"/>
      <c r="AD37" s="128"/>
      <c r="AE37" s="128"/>
      <c r="AF37" s="128"/>
      <c r="AG37" s="128"/>
      <c r="AH37" s="128"/>
      <c r="AI37" s="128"/>
      <c r="AJ37" s="128"/>
      <c r="AK37" s="128"/>
      <c r="AL37" s="128"/>
      <c r="AM37" s="128"/>
      <c r="AN37" s="128"/>
      <c r="AO37" s="128"/>
    </row>
    <row r="38" spans="2:41" ht="12.75" customHeight="1" x14ac:dyDescent="0.2">
      <c r="B38" s="493"/>
      <c r="C38" s="114"/>
      <c r="D38" s="114">
        <v>1</v>
      </c>
      <c r="E38" s="182">
        <v>40648</v>
      </c>
      <c r="F38" s="114">
        <v>5</v>
      </c>
      <c r="G38" s="204">
        <f t="shared" si="1"/>
        <v>1125</v>
      </c>
      <c r="H38" s="114">
        <v>8</v>
      </c>
      <c r="I38" s="204">
        <f t="shared" si="3"/>
        <v>266.66666666666669</v>
      </c>
      <c r="J38" s="339">
        <v>0.06</v>
      </c>
      <c r="K38" s="128"/>
      <c r="L38" s="358">
        <f t="shared" si="4"/>
        <v>16000</v>
      </c>
      <c r="M38" s="205">
        <f t="shared" si="5"/>
        <v>22500</v>
      </c>
      <c r="N38" s="207">
        <v>0</v>
      </c>
      <c r="O38" s="128"/>
      <c r="W38" s="128"/>
      <c r="X38" s="128"/>
      <c r="Y38" s="128"/>
      <c r="Z38" s="128"/>
      <c r="AA38" s="128"/>
      <c r="AB38" s="128"/>
      <c r="AC38" s="128"/>
      <c r="AD38" s="128"/>
      <c r="AE38" s="128"/>
      <c r="AF38" s="128"/>
      <c r="AG38" s="128"/>
      <c r="AH38" s="128"/>
      <c r="AI38" s="128"/>
      <c r="AJ38" s="128"/>
      <c r="AK38" s="128"/>
      <c r="AL38" s="128"/>
      <c r="AM38" s="128"/>
      <c r="AN38" s="128"/>
      <c r="AO38" s="128"/>
    </row>
    <row r="39" spans="2:41" ht="12.75" customHeight="1" x14ac:dyDescent="0.2">
      <c r="B39" s="493"/>
      <c r="C39" s="114"/>
      <c r="D39" s="114">
        <v>1</v>
      </c>
      <c r="E39" s="182">
        <v>40664</v>
      </c>
      <c r="F39" s="114">
        <v>6</v>
      </c>
      <c r="G39" s="204">
        <f t="shared" si="1"/>
        <v>1350</v>
      </c>
      <c r="H39" s="114">
        <v>11</v>
      </c>
      <c r="I39" s="204">
        <f t="shared" si="3"/>
        <v>400</v>
      </c>
      <c r="J39" s="339">
        <v>0.06</v>
      </c>
      <c r="K39" s="128"/>
      <c r="L39" s="358">
        <f t="shared" si="4"/>
        <v>22000</v>
      </c>
      <c r="M39" s="205">
        <f t="shared" si="5"/>
        <v>27000</v>
      </c>
      <c r="N39" s="207">
        <v>5</v>
      </c>
      <c r="O39" s="128"/>
      <c r="W39" s="128"/>
      <c r="X39" s="128"/>
      <c r="Y39" s="128"/>
      <c r="Z39" s="128"/>
      <c r="AA39" s="128"/>
      <c r="AB39" s="128"/>
      <c r="AC39" s="128"/>
      <c r="AD39" s="128"/>
      <c r="AE39" s="128"/>
      <c r="AF39" s="128"/>
      <c r="AG39" s="128"/>
      <c r="AH39" s="128"/>
      <c r="AI39" s="128"/>
      <c r="AJ39" s="128"/>
      <c r="AK39" s="128"/>
      <c r="AL39" s="128"/>
      <c r="AM39" s="128"/>
      <c r="AN39" s="128"/>
      <c r="AO39" s="128"/>
    </row>
    <row r="40" spans="2:41" ht="12.75" customHeight="1" x14ac:dyDescent="0.2">
      <c r="B40" s="493"/>
      <c r="C40" s="114"/>
      <c r="D40" s="114">
        <v>1</v>
      </c>
      <c r="E40" s="182">
        <v>40678</v>
      </c>
      <c r="F40" s="114">
        <v>6.5</v>
      </c>
      <c r="G40" s="204">
        <f t="shared" si="1"/>
        <v>1462.5</v>
      </c>
      <c r="H40" s="114">
        <v>15</v>
      </c>
      <c r="I40" s="204">
        <f t="shared" si="3"/>
        <v>533.33333333333337</v>
      </c>
      <c r="J40" s="339">
        <v>0.06</v>
      </c>
      <c r="K40" s="128"/>
      <c r="L40" s="358">
        <f t="shared" si="4"/>
        <v>30000</v>
      </c>
      <c r="M40" s="205">
        <f t="shared" si="5"/>
        <v>29250</v>
      </c>
      <c r="N40" s="207">
        <v>5</v>
      </c>
      <c r="O40" s="128"/>
      <c r="W40" s="128"/>
      <c r="X40" s="128"/>
      <c r="Y40" s="128"/>
      <c r="Z40" s="128"/>
      <c r="AA40" s="128"/>
      <c r="AB40" s="128"/>
      <c r="AC40" s="128"/>
      <c r="AD40" s="128"/>
      <c r="AE40" s="128"/>
      <c r="AF40" s="128"/>
      <c r="AG40" s="128"/>
      <c r="AH40" s="128"/>
      <c r="AI40" s="128"/>
      <c r="AJ40" s="128"/>
      <c r="AK40" s="128"/>
      <c r="AL40" s="128"/>
      <c r="AM40" s="128"/>
      <c r="AN40" s="128"/>
      <c r="AO40" s="128"/>
    </row>
    <row r="41" spans="2:41" ht="12.75" customHeight="1" x14ac:dyDescent="0.2">
      <c r="B41" s="493"/>
      <c r="C41" s="114"/>
      <c r="D41" s="114">
        <v>1</v>
      </c>
      <c r="E41" s="182">
        <v>40695</v>
      </c>
      <c r="F41" s="114">
        <v>7</v>
      </c>
      <c r="G41" s="204">
        <f t="shared" si="1"/>
        <v>1575</v>
      </c>
      <c r="H41" s="114">
        <v>19</v>
      </c>
      <c r="I41" s="204">
        <f t="shared" si="3"/>
        <v>533.33333333333337</v>
      </c>
      <c r="J41" s="339">
        <v>0.05</v>
      </c>
      <c r="K41" s="128"/>
      <c r="L41" s="358">
        <f t="shared" si="4"/>
        <v>38000</v>
      </c>
      <c r="M41" s="205">
        <f t="shared" si="5"/>
        <v>31500</v>
      </c>
      <c r="N41" s="207">
        <f t="shared" si="2"/>
        <v>5</v>
      </c>
      <c r="O41" s="128"/>
      <c r="W41" s="128"/>
      <c r="X41" s="128"/>
      <c r="Y41" s="128"/>
      <c r="Z41" s="128"/>
      <c r="AA41" s="128"/>
      <c r="AB41" s="128"/>
      <c r="AC41" s="128"/>
      <c r="AD41" s="128"/>
      <c r="AE41" s="128"/>
      <c r="AF41" s="128"/>
      <c r="AG41" s="128"/>
      <c r="AH41" s="128"/>
      <c r="AI41" s="128"/>
      <c r="AJ41" s="128"/>
      <c r="AK41" s="128"/>
      <c r="AL41" s="128"/>
      <c r="AM41" s="128"/>
      <c r="AN41" s="128"/>
      <c r="AO41" s="128"/>
    </row>
    <row r="42" spans="2:41" ht="12.75" customHeight="1" x14ac:dyDescent="0.2">
      <c r="B42" s="493"/>
      <c r="C42" s="114"/>
      <c r="D42" s="114">
        <v>1</v>
      </c>
      <c r="E42" s="182">
        <v>40709</v>
      </c>
      <c r="F42" s="114">
        <v>6.5</v>
      </c>
      <c r="G42" s="204">
        <f t="shared" si="1"/>
        <v>1462.5</v>
      </c>
      <c r="H42" s="114">
        <v>22</v>
      </c>
      <c r="I42" s="204">
        <f t="shared" si="3"/>
        <v>400</v>
      </c>
      <c r="J42" s="339">
        <v>0.05</v>
      </c>
      <c r="K42" s="128"/>
      <c r="L42" s="358">
        <f t="shared" si="4"/>
        <v>44000</v>
      </c>
      <c r="M42" s="205">
        <f t="shared" si="5"/>
        <v>29250</v>
      </c>
      <c r="N42" s="207">
        <f t="shared" si="2"/>
        <v>5</v>
      </c>
      <c r="O42" s="128"/>
      <c r="W42" s="128"/>
      <c r="X42" s="128"/>
      <c r="Y42" s="128"/>
      <c r="Z42" s="128"/>
      <c r="AA42" s="128"/>
      <c r="AB42" s="128"/>
      <c r="AC42" s="128"/>
      <c r="AD42" s="128"/>
      <c r="AE42" s="128"/>
      <c r="AF42" s="128"/>
      <c r="AG42" s="128"/>
      <c r="AH42" s="128"/>
      <c r="AI42" s="128"/>
      <c r="AJ42" s="128"/>
      <c r="AK42" s="128"/>
      <c r="AL42" s="128"/>
      <c r="AM42" s="128"/>
      <c r="AN42" s="128"/>
      <c r="AO42" s="128"/>
    </row>
    <row r="43" spans="2:41" ht="12.75" customHeight="1" x14ac:dyDescent="0.2">
      <c r="B43" s="493"/>
      <c r="C43" s="114"/>
      <c r="D43" s="114">
        <v>1</v>
      </c>
      <c r="E43" s="182">
        <v>40725</v>
      </c>
      <c r="F43" s="114">
        <v>6</v>
      </c>
      <c r="G43" s="204">
        <f t="shared" si="1"/>
        <v>1350</v>
      </c>
      <c r="H43" s="114">
        <v>24</v>
      </c>
      <c r="I43" s="204">
        <f t="shared" si="3"/>
        <v>266.66666666666669</v>
      </c>
      <c r="J43" s="339">
        <v>0.05</v>
      </c>
      <c r="K43" s="128"/>
      <c r="L43" s="358">
        <f t="shared" si="4"/>
        <v>48000</v>
      </c>
      <c r="M43" s="205">
        <f t="shared" si="5"/>
        <v>27000</v>
      </c>
      <c r="N43" s="207">
        <f t="shared" si="2"/>
        <v>5</v>
      </c>
      <c r="O43" s="128"/>
      <c r="W43" s="128"/>
      <c r="X43" s="128"/>
      <c r="Y43" s="128"/>
      <c r="Z43" s="128"/>
      <c r="AA43" s="128"/>
      <c r="AB43" s="128"/>
      <c r="AC43" s="128"/>
      <c r="AD43" s="128"/>
      <c r="AE43" s="128"/>
      <c r="AF43" s="128"/>
      <c r="AG43" s="128"/>
      <c r="AH43" s="128"/>
      <c r="AI43" s="128"/>
      <c r="AJ43" s="128"/>
      <c r="AK43" s="128"/>
      <c r="AL43" s="128"/>
      <c r="AM43" s="128"/>
      <c r="AN43" s="128"/>
      <c r="AO43" s="128"/>
    </row>
    <row r="44" spans="2:41" ht="12.75" customHeight="1" x14ac:dyDescent="0.2">
      <c r="B44" s="493"/>
      <c r="C44" s="114"/>
      <c r="D44" s="114">
        <v>1</v>
      </c>
      <c r="E44" s="182">
        <v>40739</v>
      </c>
      <c r="F44" s="114">
        <v>5</v>
      </c>
      <c r="G44" s="204">
        <f t="shared" si="1"/>
        <v>1125</v>
      </c>
      <c r="H44" s="114">
        <v>25</v>
      </c>
      <c r="I44" s="204">
        <f t="shared" si="3"/>
        <v>133.33333333333334</v>
      </c>
      <c r="J44" s="339">
        <v>0.05</v>
      </c>
      <c r="K44" s="128"/>
      <c r="L44" s="358">
        <f t="shared" si="4"/>
        <v>50000</v>
      </c>
      <c r="M44" s="205">
        <f t="shared" si="5"/>
        <v>22500</v>
      </c>
      <c r="N44" s="207">
        <f t="shared" si="2"/>
        <v>5</v>
      </c>
      <c r="O44" s="128"/>
      <c r="W44" s="128"/>
      <c r="X44" s="128"/>
      <c r="Y44" s="128"/>
      <c r="Z44" s="128"/>
      <c r="AA44" s="128"/>
      <c r="AB44" s="128"/>
      <c r="AC44" s="128"/>
      <c r="AD44" s="128"/>
      <c r="AE44" s="128"/>
      <c r="AF44" s="128"/>
      <c r="AG44" s="128"/>
      <c r="AH44" s="128"/>
      <c r="AI44" s="128"/>
      <c r="AJ44" s="128"/>
      <c r="AK44" s="128"/>
      <c r="AL44" s="128"/>
      <c r="AM44" s="128"/>
      <c r="AN44" s="128"/>
      <c r="AO44" s="128"/>
    </row>
    <row r="45" spans="2:41" ht="12.75" customHeight="1" x14ac:dyDescent="0.2">
      <c r="B45" s="493"/>
      <c r="C45" s="114"/>
      <c r="D45" s="114">
        <v>1</v>
      </c>
      <c r="E45" s="182">
        <v>40756</v>
      </c>
      <c r="F45" s="114">
        <v>4.5</v>
      </c>
      <c r="G45" s="204">
        <f t="shared" si="1"/>
        <v>1012.5</v>
      </c>
      <c r="H45" s="114">
        <v>25</v>
      </c>
      <c r="I45" s="204">
        <f t="shared" si="3"/>
        <v>0</v>
      </c>
      <c r="J45" s="339">
        <v>0.05</v>
      </c>
      <c r="K45" s="128"/>
      <c r="L45" s="358">
        <f t="shared" si="4"/>
        <v>50000</v>
      </c>
      <c r="M45" s="205">
        <f t="shared" si="5"/>
        <v>20250</v>
      </c>
      <c r="N45" s="207">
        <f t="shared" si="2"/>
        <v>5</v>
      </c>
      <c r="O45" s="128"/>
      <c r="W45" s="128"/>
      <c r="X45" s="128"/>
      <c r="Y45" s="128"/>
      <c r="Z45" s="128"/>
      <c r="AA45" s="128"/>
      <c r="AB45" s="128"/>
      <c r="AC45" s="128"/>
      <c r="AD45" s="128"/>
      <c r="AE45" s="128"/>
      <c r="AF45" s="128"/>
      <c r="AG45" s="128"/>
      <c r="AH45" s="128"/>
      <c r="AI45" s="128"/>
      <c r="AJ45" s="128"/>
      <c r="AK45" s="128"/>
      <c r="AL45" s="128"/>
      <c r="AM45" s="128"/>
      <c r="AN45" s="128"/>
      <c r="AO45" s="128"/>
    </row>
    <row r="46" spans="2:41" ht="12.75" customHeight="1" x14ac:dyDescent="0.2">
      <c r="B46" s="493"/>
      <c r="C46" s="114"/>
      <c r="D46" s="114">
        <v>1</v>
      </c>
      <c r="E46" s="182">
        <v>40770</v>
      </c>
      <c r="F46" s="114">
        <v>4</v>
      </c>
      <c r="G46" s="204">
        <f t="shared" si="1"/>
        <v>900</v>
      </c>
      <c r="H46" s="114">
        <v>22</v>
      </c>
      <c r="I46" s="204">
        <f t="shared" si="3"/>
        <v>-400</v>
      </c>
      <c r="J46" s="339">
        <v>0.05</v>
      </c>
      <c r="K46" s="128"/>
      <c r="L46" s="358">
        <f t="shared" si="4"/>
        <v>44000</v>
      </c>
      <c r="M46" s="205">
        <f t="shared" si="5"/>
        <v>18000</v>
      </c>
      <c r="N46" s="207">
        <f t="shared" si="2"/>
        <v>5</v>
      </c>
      <c r="O46" s="128"/>
      <c r="W46" s="128"/>
      <c r="X46" s="128"/>
      <c r="Y46" s="128"/>
      <c r="Z46" s="128"/>
      <c r="AA46" s="128"/>
      <c r="AB46" s="128"/>
      <c r="AC46" s="128"/>
      <c r="AD46" s="128"/>
      <c r="AE46" s="128"/>
      <c r="AF46" s="128"/>
      <c r="AG46" s="128"/>
      <c r="AH46" s="128"/>
      <c r="AI46" s="128"/>
      <c r="AJ46" s="128"/>
      <c r="AK46" s="128"/>
      <c r="AL46" s="128"/>
      <c r="AM46" s="128"/>
      <c r="AN46" s="128"/>
      <c r="AO46" s="128"/>
    </row>
    <row r="47" spans="2:41" ht="12.75" customHeight="1" x14ac:dyDescent="0.2">
      <c r="B47" s="493"/>
      <c r="C47" s="114"/>
      <c r="D47" s="114"/>
      <c r="E47" s="182">
        <v>40787</v>
      </c>
      <c r="F47" s="114">
        <v>3.5</v>
      </c>
      <c r="G47" s="204">
        <f t="shared" si="1"/>
        <v>787.5</v>
      </c>
      <c r="H47" s="114">
        <v>19</v>
      </c>
      <c r="I47" s="204">
        <f t="shared" si="3"/>
        <v>-400</v>
      </c>
      <c r="J47" s="339">
        <v>0.02</v>
      </c>
      <c r="K47" s="128"/>
      <c r="L47" s="358">
        <f t="shared" si="4"/>
        <v>38000</v>
      </c>
      <c r="M47" s="205">
        <f t="shared" si="5"/>
        <v>15750</v>
      </c>
      <c r="N47" s="207">
        <f t="shared" si="2"/>
        <v>2</v>
      </c>
      <c r="O47" s="128"/>
      <c r="W47" s="128"/>
      <c r="X47" s="128"/>
      <c r="Y47" s="128"/>
      <c r="Z47" s="128"/>
      <c r="AA47" s="128"/>
      <c r="AB47" s="128"/>
      <c r="AC47" s="128"/>
      <c r="AD47" s="128"/>
      <c r="AE47" s="128"/>
      <c r="AF47" s="128"/>
      <c r="AG47" s="128"/>
      <c r="AH47" s="128"/>
      <c r="AI47" s="128"/>
      <c r="AJ47" s="128"/>
      <c r="AK47" s="128"/>
      <c r="AL47" s="128"/>
      <c r="AM47" s="128"/>
      <c r="AN47" s="128"/>
      <c r="AO47" s="128"/>
    </row>
    <row r="48" spans="2:41" ht="12.75" customHeight="1" x14ac:dyDescent="0.2">
      <c r="B48" s="493"/>
      <c r="C48" s="114"/>
      <c r="D48" s="114"/>
      <c r="E48" s="182">
        <v>40801</v>
      </c>
      <c r="F48" s="114">
        <v>4</v>
      </c>
      <c r="G48" s="204">
        <f t="shared" si="1"/>
        <v>900</v>
      </c>
      <c r="H48" s="114">
        <v>16</v>
      </c>
      <c r="I48" s="204">
        <f t="shared" si="3"/>
        <v>-400</v>
      </c>
      <c r="J48" s="339">
        <v>0.02</v>
      </c>
      <c r="K48" s="128"/>
      <c r="L48" s="358">
        <f t="shared" si="4"/>
        <v>32000</v>
      </c>
      <c r="M48" s="205">
        <f t="shared" si="5"/>
        <v>18000</v>
      </c>
      <c r="N48" s="207">
        <f t="shared" si="2"/>
        <v>2</v>
      </c>
      <c r="O48" s="128"/>
      <c r="W48" s="128"/>
      <c r="X48" s="128"/>
      <c r="Y48" s="128"/>
      <c r="Z48" s="128"/>
      <c r="AA48" s="128"/>
      <c r="AB48" s="128"/>
      <c r="AC48" s="128"/>
      <c r="AD48" s="128"/>
      <c r="AE48" s="128"/>
      <c r="AF48" s="128"/>
      <c r="AG48" s="128"/>
      <c r="AH48" s="128"/>
      <c r="AI48" s="128"/>
      <c r="AJ48" s="128"/>
      <c r="AK48" s="128"/>
      <c r="AL48" s="128"/>
      <c r="AM48" s="128"/>
      <c r="AN48" s="128"/>
      <c r="AO48" s="128"/>
    </row>
    <row r="49" spans="2:41" ht="12.75" customHeight="1" x14ac:dyDescent="0.2">
      <c r="B49" s="493"/>
      <c r="C49" s="114">
        <v>1</v>
      </c>
      <c r="D49" s="114"/>
      <c r="E49" s="182">
        <v>40817</v>
      </c>
      <c r="F49" s="114">
        <v>2</v>
      </c>
      <c r="G49" s="204">
        <f t="shared" si="1"/>
        <v>450</v>
      </c>
      <c r="H49" s="114">
        <v>15</v>
      </c>
      <c r="I49" s="204">
        <f t="shared" si="3"/>
        <v>-133.33333333333334</v>
      </c>
      <c r="J49" s="339">
        <v>0</v>
      </c>
      <c r="K49" s="128"/>
      <c r="L49" s="358">
        <f t="shared" si="4"/>
        <v>30000</v>
      </c>
      <c r="M49" s="205">
        <f t="shared" si="5"/>
        <v>9000</v>
      </c>
      <c r="N49" s="207">
        <f t="shared" si="2"/>
        <v>0</v>
      </c>
      <c r="O49" s="128"/>
      <c r="W49" s="128"/>
      <c r="X49" s="128"/>
      <c r="Y49" s="128"/>
      <c r="Z49" s="128"/>
      <c r="AA49" s="128"/>
      <c r="AB49" s="128"/>
      <c r="AC49" s="128"/>
      <c r="AD49" s="128"/>
      <c r="AE49" s="128"/>
      <c r="AF49" s="128"/>
      <c r="AG49" s="128"/>
      <c r="AH49" s="128"/>
      <c r="AI49" s="128"/>
      <c r="AJ49" s="128"/>
      <c r="AK49" s="128"/>
      <c r="AL49" s="128"/>
      <c r="AM49" s="128"/>
      <c r="AN49" s="128"/>
      <c r="AO49" s="128"/>
    </row>
    <row r="50" spans="2:41" ht="12.75" customHeight="1" x14ac:dyDescent="0.2">
      <c r="B50" s="493"/>
      <c r="C50" s="114">
        <v>1</v>
      </c>
      <c r="D50" s="114"/>
      <c r="E50" s="182">
        <v>40831</v>
      </c>
      <c r="F50" s="114">
        <v>0.5</v>
      </c>
      <c r="G50" s="204">
        <f t="shared" si="1"/>
        <v>112.5</v>
      </c>
      <c r="H50" s="114">
        <v>12</v>
      </c>
      <c r="I50" s="204">
        <f t="shared" si="3"/>
        <v>-400</v>
      </c>
      <c r="J50" s="339">
        <v>0</v>
      </c>
      <c r="K50" s="128"/>
      <c r="L50" s="358">
        <f t="shared" si="4"/>
        <v>24000</v>
      </c>
      <c r="M50" s="205">
        <f t="shared" si="5"/>
        <v>2250</v>
      </c>
      <c r="N50" s="207">
        <f t="shared" si="2"/>
        <v>0</v>
      </c>
      <c r="O50" s="128"/>
      <c r="W50" s="128"/>
      <c r="X50" s="128"/>
      <c r="Y50" s="128"/>
      <c r="Z50" s="128"/>
      <c r="AA50" s="128"/>
      <c r="AB50" s="128"/>
      <c r="AC50" s="128"/>
      <c r="AD50" s="128"/>
      <c r="AE50" s="128"/>
      <c r="AF50" s="128"/>
      <c r="AG50" s="128"/>
      <c r="AH50" s="128"/>
      <c r="AI50" s="128"/>
      <c r="AJ50" s="128"/>
      <c r="AK50" s="128"/>
      <c r="AL50" s="128"/>
      <c r="AM50" s="128"/>
      <c r="AN50" s="128"/>
      <c r="AO50" s="128"/>
    </row>
    <row r="51" spans="2:41" ht="12.75" customHeight="1" x14ac:dyDescent="0.2">
      <c r="B51" s="493"/>
      <c r="C51" s="114">
        <v>1</v>
      </c>
      <c r="D51" s="114"/>
      <c r="E51" s="182">
        <v>40848</v>
      </c>
      <c r="F51" s="114">
        <v>0</v>
      </c>
      <c r="G51" s="204">
        <f t="shared" si="1"/>
        <v>0</v>
      </c>
      <c r="H51" s="114">
        <v>9</v>
      </c>
      <c r="I51" s="204">
        <f t="shared" si="3"/>
        <v>-400</v>
      </c>
      <c r="J51" s="339">
        <v>0</v>
      </c>
      <c r="K51" s="128"/>
      <c r="L51" s="358">
        <f t="shared" si="4"/>
        <v>18000</v>
      </c>
      <c r="M51" s="205">
        <f t="shared" si="5"/>
        <v>0</v>
      </c>
      <c r="N51" s="207">
        <f t="shared" si="2"/>
        <v>0</v>
      </c>
      <c r="O51" s="128"/>
      <c r="W51" s="128"/>
      <c r="X51" s="128"/>
      <c r="Y51" s="128"/>
      <c r="Z51" s="128"/>
      <c r="AA51" s="128"/>
      <c r="AB51" s="128"/>
      <c r="AC51" s="128"/>
      <c r="AD51" s="128"/>
      <c r="AE51" s="128"/>
      <c r="AF51" s="128"/>
      <c r="AG51" s="128"/>
      <c r="AH51" s="128"/>
      <c r="AI51" s="128"/>
      <c r="AJ51" s="128"/>
      <c r="AK51" s="128"/>
      <c r="AL51" s="128"/>
      <c r="AM51" s="128"/>
      <c r="AN51" s="128"/>
      <c r="AO51" s="128"/>
    </row>
    <row r="52" spans="2:41" ht="12.75" customHeight="1" x14ac:dyDescent="0.2">
      <c r="B52" s="493"/>
      <c r="C52" s="114">
        <v>1</v>
      </c>
      <c r="D52" s="114"/>
      <c r="E52" s="182">
        <v>40862</v>
      </c>
      <c r="F52" s="114">
        <v>0</v>
      </c>
      <c r="G52" s="204">
        <f t="shared" si="1"/>
        <v>0</v>
      </c>
      <c r="H52" s="114">
        <v>8.5</v>
      </c>
      <c r="I52" s="204">
        <f t="shared" si="3"/>
        <v>-66.666666666666671</v>
      </c>
      <c r="J52" s="339">
        <v>0</v>
      </c>
      <c r="K52" s="128"/>
      <c r="L52" s="358">
        <f t="shared" si="4"/>
        <v>17000</v>
      </c>
      <c r="M52" s="205">
        <f t="shared" si="5"/>
        <v>0</v>
      </c>
      <c r="N52" s="207">
        <f t="shared" si="2"/>
        <v>0</v>
      </c>
      <c r="O52" s="128"/>
      <c r="W52" s="128"/>
      <c r="X52" s="128"/>
      <c r="Y52" s="128"/>
      <c r="Z52" s="128"/>
      <c r="AA52" s="128"/>
      <c r="AB52" s="128"/>
      <c r="AC52" s="128"/>
      <c r="AD52" s="128"/>
      <c r="AE52" s="128"/>
      <c r="AF52" s="128"/>
      <c r="AG52" s="128"/>
      <c r="AH52" s="128"/>
      <c r="AI52" s="128"/>
      <c r="AJ52" s="128"/>
      <c r="AK52" s="128"/>
      <c r="AL52" s="128"/>
      <c r="AM52" s="128"/>
      <c r="AN52" s="128"/>
      <c r="AO52" s="128"/>
    </row>
    <row r="53" spans="2:41" ht="12.75" customHeight="1" x14ac:dyDescent="0.2">
      <c r="B53" s="493"/>
      <c r="C53" s="114">
        <v>1</v>
      </c>
      <c r="D53" s="114"/>
      <c r="E53" s="182">
        <v>40878</v>
      </c>
      <c r="F53" s="114">
        <v>0</v>
      </c>
      <c r="G53" s="204">
        <f t="shared" si="1"/>
        <v>0</v>
      </c>
      <c r="H53" s="114">
        <v>8.25</v>
      </c>
      <c r="I53" s="204">
        <f t="shared" si="3"/>
        <v>-33.333333333333336</v>
      </c>
      <c r="J53" s="339">
        <v>0</v>
      </c>
      <c r="K53" s="128"/>
      <c r="L53" s="358">
        <f t="shared" si="4"/>
        <v>16500</v>
      </c>
      <c r="M53" s="205">
        <f t="shared" si="5"/>
        <v>0</v>
      </c>
      <c r="N53" s="207">
        <f t="shared" si="2"/>
        <v>0</v>
      </c>
      <c r="O53" s="128"/>
      <c r="W53" s="128"/>
      <c r="X53" s="128"/>
      <c r="Y53" s="128"/>
      <c r="Z53" s="128"/>
      <c r="AA53" s="128"/>
      <c r="AB53" s="128"/>
      <c r="AC53" s="128"/>
      <c r="AD53" s="128"/>
      <c r="AE53" s="128"/>
      <c r="AF53" s="128"/>
      <c r="AG53" s="128"/>
      <c r="AH53" s="128"/>
      <c r="AI53" s="128"/>
      <c r="AJ53" s="128"/>
      <c r="AK53" s="128"/>
      <c r="AL53" s="128"/>
      <c r="AM53" s="128"/>
      <c r="AN53" s="128"/>
      <c r="AO53" s="128"/>
    </row>
    <row r="54" spans="2:41" ht="12.75" customHeight="1" x14ac:dyDescent="0.2">
      <c r="B54" s="494"/>
      <c r="C54" s="114">
        <v>1</v>
      </c>
      <c r="D54" s="114"/>
      <c r="E54" s="315">
        <v>40892</v>
      </c>
      <c r="F54" s="316">
        <v>0</v>
      </c>
      <c r="G54" s="317">
        <f t="shared" si="1"/>
        <v>0</v>
      </c>
      <c r="H54" s="316">
        <v>8</v>
      </c>
      <c r="I54" s="318">
        <f t="shared" si="3"/>
        <v>-33.333333333333336</v>
      </c>
      <c r="J54" s="340">
        <v>0</v>
      </c>
      <c r="K54" s="128"/>
      <c r="L54" s="358">
        <f t="shared" si="4"/>
        <v>16000</v>
      </c>
      <c r="M54" s="319">
        <f t="shared" si="5"/>
        <v>0</v>
      </c>
      <c r="N54" s="320">
        <f t="shared" si="2"/>
        <v>0</v>
      </c>
      <c r="O54" s="128"/>
      <c r="W54" s="128"/>
      <c r="X54" s="128"/>
      <c r="Y54" s="128"/>
      <c r="Z54" s="128"/>
      <c r="AA54" s="128"/>
      <c r="AB54" s="128"/>
      <c r="AC54" s="128"/>
      <c r="AD54" s="128"/>
      <c r="AE54" s="128"/>
      <c r="AF54" s="128"/>
      <c r="AG54" s="128"/>
      <c r="AH54" s="128"/>
      <c r="AI54" s="128"/>
      <c r="AJ54" s="128"/>
      <c r="AK54" s="128"/>
      <c r="AL54" s="128"/>
      <c r="AM54" s="128"/>
      <c r="AN54" s="128"/>
      <c r="AO54" s="128"/>
    </row>
    <row r="55" spans="2:41" x14ac:dyDescent="0.2">
      <c r="B55" s="128"/>
      <c r="E55" s="321">
        <v>43100</v>
      </c>
      <c r="F55" s="306">
        <f>F31</f>
        <v>0</v>
      </c>
      <c r="G55" s="306">
        <f t="shared" ref="G55:N55" si="6">G31</f>
        <v>0</v>
      </c>
      <c r="H55" s="306">
        <v>8</v>
      </c>
      <c r="I55" s="306">
        <f t="shared" si="6"/>
        <v>0</v>
      </c>
      <c r="J55" s="341">
        <f t="shared" si="6"/>
        <v>0</v>
      </c>
      <c r="K55" s="306"/>
      <c r="L55" s="358">
        <f t="shared" si="4"/>
        <v>16000</v>
      </c>
      <c r="M55" s="306">
        <f t="shared" si="6"/>
        <v>0</v>
      </c>
      <c r="N55" s="322">
        <f t="shared" si="6"/>
        <v>0</v>
      </c>
      <c r="O55" s="128"/>
      <c r="W55" s="128"/>
      <c r="X55" s="128"/>
      <c r="Y55" s="128"/>
      <c r="Z55" s="128"/>
      <c r="AA55" s="128"/>
      <c r="AB55" s="128"/>
      <c r="AC55" s="128"/>
      <c r="AD55" s="128"/>
      <c r="AE55" s="128"/>
      <c r="AF55" s="128"/>
      <c r="AG55" s="128"/>
      <c r="AH55" s="128"/>
      <c r="AI55" s="128"/>
      <c r="AJ55" s="128"/>
      <c r="AK55" s="128"/>
      <c r="AL55" s="128"/>
      <c r="AM55" s="128"/>
      <c r="AN55" s="128"/>
      <c r="AO55" s="128"/>
    </row>
    <row r="56" spans="2:41" x14ac:dyDescent="0.2">
      <c r="B56" s="128"/>
      <c r="E56" s="128"/>
      <c r="G56" s="128"/>
      <c r="I56" s="128"/>
      <c r="K56" s="128"/>
      <c r="L56" s="128"/>
      <c r="M56" s="128"/>
      <c r="N56" s="128"/>
      <c r="O56" s="128"/>
      <c r="W56" s="128"/>
      <c r="X56" s="128"/>
      <c r="Y56" s="128"/>
      <c r="Z56" s="128"/>
      <c r="AA56" s="128"/>
      <c r="AB56" s="128"/>
      <c r="AC56" s="176"/>
      <c r="AD56" s="176"/>
      <c r="AE56" s="302"/>
      <c r="AF56" s="176"/>
      <c r="AG56" s="176"/>
      <c r="AH56" s="128"/>
      <c r="AI56" s="128"/>
      <c r="AJ56" s="128"/>
      <c r="AK56" s="128"/>
      <c r="AL56" s="128"/>
      <c r="AM56" s="128"/>
      <c r="AN56" s="128"/>
      <c r="AO56" s="128"/>
    </row>
    <row r="57" spans="2:41" x14ac:dyDescent="0.2">
      <c r="B57" s="128"/>
      <c r="E57" s="128"/>
      <c r="G57" s="128"/>
      <c r="I57" s="128"/>
      <c r="K57" s="128"/>
      <c r="L57" s="128"/>
      <c r="M57" s="128"/>
      <c r="N57" s="128"/>
      <c r="O57" s="128"/>
      <c r="W57" s="128"/>
      <c r="X57" s="128"/>
      <c r="Y57" s="128"/>
      <c r="Z57" s="128"/>
      <c r="AA57" s="128"/>
      <c r="AB57" s="128"/>
      <c r="AC57" s="128"/>
      <c r="AD57" s="128"/>
      <c r="AE57" s="128"/>
      <c r="AF57" s="128"/>
      <c r="AG57" s="128"/>
      <c r="AH57" s="128"/>
      <c r="AI57" s="128"/>
      <c r="AJ57" s="128"/>
      <c r="AK57" s="128"/>
      <c r="AL57" s="128"/>
      <c r="AM57" s="128"/>
      <c r="AN57" s="128"/>
      <c r="AO57" s="128"/>
    </row>
    <row r="58" spans="2:41" ht="191.25" x14ac:dyDescent="0.2">
      <c r="B58" s="195" t="s">
        <v>322</v>
      </c>
      <c r="C58" s="152" t="s">
        <v>45</v>
      </c>
      <c r="D58" s="152" t="s">
        <v>46</v>
      </c>
      <c r="E58" s="197" t="s">
        <v>38</v>
      </c>
      <c r="F58" s="155" t="s">
        <v>39</v>
      </c>
      <c r="G58" s="199" t="s">
        <v>84</v>
      </c>
      <c r="H58" s="156" t="s">
        <v>86</v>
      </c>
      <c r="I58" s="201" t="s">
        <v>85</v>
      </c>
      <c r="J58" s="343" t="s">
        <v>40</v>
      </c>
      <c r="K58" s="128"/>
      <c r="L58" s="200" t="s">
        <v>42</v>
      </c>
      <c r="M58" s="198" t="s">
        <v>43</v>
      </c>
      <c r="N58" s="202" t="s">
        <v>87</v>
      </c>
      <c r="O58" s="128"/>
      <c r="W58" s="128"/>
      <c r="X58" s="128"/>
      <c r="Y58" s="128"/>
      <c r="Z58" s="128"/>
      <c r="AA58" s="128"/>
      <c r="AB58" s="128"/>
      <c r="AC58" s="128"/>
      <c r="AD58" s="128"/>
      <c r="AE58" s="128"/>
      <c r="AF58" s="128"/>
      <c r="AG58" s="128"/>
      <c r="AH58" s="128"/>
      <c r="AI58" s="128"/>
      <c r="AJ58" s="128"/>
      <c r="AK58" s="128"/>
      <c r="AL58" s="128"/>
      <c r="AM58" s="128"/>
      <c r="AN58" s="128"/>
      <c r="AO58" s="128"/>
    </row>
    <row r="59" spans="2:41" ht="12.6" customHeight="1" x14ac:dyDescent="0.2">
      <c r="B59" s="493"/>
      <c r="C59" s="114">
        <v>1</v>
      </c>
      <c r="D59" s="114"/>
      <c r="E59" s="182">
        <v>40544</v>
      </c>
      <c r="F59" s="114"/>
      <c r="G59" s="204">
        <f>M59/20</f>
        <v>0</v>
      </c>
      <c r="H59" s="114"/>
      <c r="I59" s="205"/>
      <c r="J59" s="339">
        <v>0</v>
      </c>
      <c r="K59" s="128"/>
      <c r="L59" s="205">
        <f>H59*$M$2</f>
        <v>0</v>
      </c>
      <c r="M59" s="205">
        <f t="shared" ref="M59:M82" si="7">F59*$M$3</f>
        <v>0</v>
      </c>
      <c r="N59" s="207">
        <f t="shared" ref="N59:N82" si="8">J59*100</f>
        <v>0</v>
      </c>
      <c r="O59" s="128"/>
      <c r="W59" s="128"/>
      <c r="X59" s="128"/>
      <c r="Y59" s="128"/>
      <c r="Z59" s="128"/>
      <c r="AA59" s="128"/>
      <c r="AB59" s="128"/>
      <c r="AC59" s="128"/>
      <c r="AD59" s="128"/>
      <c r="AE59" s="128"/>
      <c r="AF59" s="128"/>
      <c r="AG59" s="128"/>
      <c r="AH59" s="128"/>
      <c r="AI59" s="128"/>
      <c r="AJ59" s="128"/>
      <c r="AK59" s="128"/>
      <c r="AL59" s="128"/>
      <c r="AM59" s="128"/>
      <c r="AN59" s="128"/>
      <c r="AO59" s="128"/>
    </row>
    <row r="60" spans="2:41" ht="12.6" customHeight="1" x14ac:dyDescent="0.2">
      <c r="B60" s="493"/>
      <c r="C60" s="114">
        <v>1</v>
      </c>
      <c r="D60" s="114"/>
      <c r="E60" s="182">
        <v>40558</v>
      </c>
      <c r="F60" s="114"/>
      <c r="G60" s="204">
        <f t="shared" ref="G60:G82" si="9">M60/20</f>
        <v>0</v>
      </c>
      <c r="H60" s="114"/>
      <c r="I60" s="204">
        <f t="shared" ref="I60:I82" si="10">(L60-L59)/15</f>
        <v>0</v>
      </c>
      <c r="J60" s="339">
        <v>0</v>
      </c>
      <c r="K60" s="128"/>
      <c r="L60" s="205">
        <f t="shared" ref="L60:L82" si="11">H60*$M$2</f>
        <v>0</v>
      </c>
      <c r="M60" s="205">
        <f t="shared" si="7"/>
        <v>0</v>
      </c>
      <c r="N60" s="207">
        <f t="shared" si="8"/>
        <v>0</v>
      </c>
      <c r="O60" s="128"/>
      <c r="W60" s="128"/>
      <c r="X60" s="128"/>
      <c r="Y60" s="128"/>
      <c r="Z60" s="128"/>
      <c r="AA60" s="128"/>
      <c r="AB60" s="128"/>
      <c r="AC60" s="128"/>
      <c r="AD60" s="128"/>
      <c r="AE60" s="128"/>
      <c r="AF60" s="128"/>
      <c r="AG60" s="128"/>
      <c r="AH60" s="128"/>
      <c r="AI60" s="128"/>
      <c r="AJ60" s="128"/>
      <c r="AK60" s="128"/>
      <c r="AL60" s="128"/>
      <c r="AM60" s="128"/>
      <c r="AN60" s="128"/>
      <c r="AO60" s="128"/>
    </row>
    <row r="61" spans="2:41" ht="12.6" customHeight="1" x14ac:dyDescent="0.2">
      <c r="B61" s="493"/>
      <c r="C61" s="114">
        <v>1</v>
      </c>
      <c r="D61" s="114"/>
      <c r="E61" s="182">
        <v>40575</v>
      </c>
      <c r="F61" s="114"/>
      <c r="G61" s="204">
        <f t="shared" si="9"/>
        <v>0</v>
      </c>
      <c r="H61" s="114"/>
      <c r="I61" s="204">
        <f t="shared" si="10"/>
        <v>0</v>
      </c>
      <c r="J61" s="339">
        <v>0</v>
      </c>
      <c r="K61" s="128"/>
      <c r="L61" s="205">
        <f t="shared" si="11"/>
        <v>0</v>
      </c>
      <c r="M61" s="205">
        <f t="shared" si="7"/>
        <v>0</v>
      </c>
      <c r="N61" s="207">
        <f t="shared" si="8"/>
        <v>0</v>
      </c>
      <c r="O61" s="128"/>
      <c r="W61" s="128"/>
      <c r="X61" s="128"/>
      <c r="Y61" s="128"/>
      <c r="Z61" s="128"/>
      <c r="AA61" s="128"/>
      <c r="AB61" s="128"/>
      <c r="AC61" s="128"/>
      <c r="AD61" s="128"/>
      <c r="AE61" s="128"/>
      <c r="AF61" s="128"/>
      <c r="AG61" s="128"/>
      <c r="AH61" s="128"/>
      <c r="AI61" s="128"/>
      <c r="AJ61" s="128"/>
      <c r="AK61" s="128"/>
      <c r="AL61" s="128"/>
      <c r="AM61" s="128"/>
      <c r="AN61" s="128"/>
      <c r="AO61" s="128"/>
    </row>
    <row r="62" spans="2:41" ht="12.6" customHeight="1" x14ac:dyDescent="0.2">
      <c r="B62" s="493"/>
      <c r="C62" s="114">
        <v>1</v>
      </c>
      <c r="D62" s="114"/>
      <c r="E62" s="182">
        <v>40589</v>
      </c>
      <c r="F62" s="114"/>
      <c r="G62" s="204">
        <f t="shared" si="9"/>
        <v>0</v>
      </c>
      <c r="H62" s="114"/>
      <c r="I62" s="204">
        <f t="shared" si="10"/>
        <v>0</v>
      </c>
      <c r="J62" s="339">
        <v>0</v>
      </c>
      <c r="K62" s="128"/>
      <c r="L62" s="205">
        <f t="shared" si="11"/>
        <v>0</v>
      </c>
      <c r="M62" s="205">
        <f t="shared" si="7"/>
        <v>0</v>
      </c>
      <c r="N62" s="207">
        <f t="shared" si="8"/>
        <v>0</v>
      </c>
      <c r="O62" s="128"/>
      <c r="W62" s="128"/>
      <c r="X62" s="128"/>
      <c r="Y62" s="128"/>
      <c r="Z62" s="128"/>
      <c r="AA62" s="128"/>
      <c r="AB62" s="128"/>
      <c r="AC62" s="128"/>
      <c r="AD62" s="128"/>
      <c r="AE62" s="128"/>
      <c r="AF62" s="128"/>
      <c r="AG62" s="128"/>
      <c r="AH62" s="128"/>
      <c r="AI62" s="128"/>
      <c r="AJ62" s="128"/>
      <c r="AK62" s="128"/>
      <c r="AL62" s="128"/>
      <c r="AM62" s="128"/>
      <c r="AN62" s="128"/>
      <c r="AO62" s="128"/>
    </row>
    <row r="63" spans="2:41" ht="12.6" customHeight="1" x14ac:dyDescent="0.2">
      <c r="B63" s="493"/>
      <c r="C63" s="114">
        <v>1</v>
      </c>
      <c r="D63" s="114"/>
      <c r="E63" s="182">
        <v>40603</v>
      </c>
      <c r="F63" s="114"/>
      <c r="G63" s="204">
        <f t="shared" si="9"/>
        <v>0</v>
      </c>
      <c r="H63" s="114"/>
      <c r="I63" s="204">
        <f t="shared" si="10"/>
        <v>0</v>
      </c>
      <c r="J63" s="339">
        <v>0</v>
      </c>
      <c r="K63" s="128"/>
      <c r="L63" s="205">
        <f t="shared" si="11"/>
        <v>0</v>
      </c>
      <c r="M63" s="205">
        <f t="shared" si="7"/>
        <v>0</v>
      </c>
      <c r="N63" s="207">
        <f t="shared" si="8"/>
        <v>0</v>
      </c>
      <c r="O63" s="128"/>
      <c r="W63" s="128"/>
      <c r="X63" s="128"/>
      <c r="Y63" s="128"/>
      <c r="Z63" s="128"/>
      <c r="AA63" s="128"/>
      <c r="AB63" s="128"/>
      <c r="AC63" s="128"/>
      <c r="AD63" s="128"/>
      <c r="AE63" s="128"/>
      <c r="AF63" s="128"/>
      <c r="AG63" s="128"/>
      <c r="AH63" s="128"/>
      <c r="AI63" s="128"/>
      <c r="AJ63" s="128"/>
      <c r="AK63" s="128"/>
      <c r="AL63" s="128"/>
      <c r="AM63" s="128"/>
      <c r="AN63" s="128"/>
      <c r="AO63" s="128"/>
    </row>
    <row r="64" spans="2:41" ht="12.6" customHeight="1" x14ac:dyDescent="0.2">
      <c r="B64" s="493"/>
      <c r="C64" s="114">
        <v>1</v>
      </c>
      <c r="D64" s="114"/>
      <c r="E64" s="182">
        <v>40617</v>
      </c>
      <c r="F64" s="114"/>
      <c r="G64" s="204">
        <f t="shared" si="9"/>
        <v>0</v>
      </c>
      <c r="H64" s="114"/>
      <c r="I64" s="204">
        <f t="shared" si="10"/>
        <v>0</v>
      </c>
      <c r="J64" s="339">
        <v>0</v>
      </c>
      <c r="K64" s="128"/>
      <c r="L64" s="205">
        <f t="shared" si="11"/>
        <v>0</v>
      </c>
      <c r="M64" s="205">
        <f t="shared" si="7"/>
        <v>0</v>
      </c>
      <c r="N64" s="207">
        <f t="shared" si="8"/>
        <v>0</v>
      </c>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row>
    <row r="65" spans="2:41" ht="12.6" customHeight="1" x14ac:dyDescent="0.2">
      <c r="B65" s="493"/>
      <c r="C65" s="114"/>
      <c r="D65" s="114">
        <v>1</v>
      </c>
      <c r="E65" s="182">
        <v>40634</v>
      </c>
      <c r="F65" s="114">
        <v>2.5</v>
      </c>
      <c r="G65" s="204">
        <f t="shared" si="9"/>
        <v>562.5</v>
      </c>
      <c r="H65" s="114">
        <v>5</v>
      </c>
      <c r="I65" s="204">
        <f t="shared" si="10"/>
        <v>666.66666666666663</v>
      </c>
      <c r="J65" s="339">
        <v>0</v>
      </c>
      <c r="K65" s="128"/>
      <c r="L65" s="205">
        <f t="shared" si="11"/>
        <v>10000</v>
      </c>
      <c r="M65" s="205">
        <f t="shared" si="7"/>
        <v>11250</v>
      </c>
      <c r="N65" s="207">
        <f t="shared" si="8"/>
        <v>0</v>
      </c>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row>
    <row r="66" spans="2:41" ht="12.6" customHeight="1" x14ac:dyDescent="0.2">
      <c r="B66" s="493"/>
      <c r="C66" s="114"/>
      <c r="D66" s="114">
        <v>1</v>
      </c>
      <c r="E66" s="182">
        <v>40648</v>
      </c>
      <c r="F66" s="114">
        <v>5</v>
      </c>
      <c r="G66" s="204">
        <f t="shared" si="9"/>
        <v>1125</v>
      </c>
      <c r="H66" s="114">
        <v>7</v>
      </c>
      <c r="I66" s="204">
        <f t="shared" si="10"/>
        <v>266.66666666666669</v>
      </c>
      <c r="J66" s="339">
        <v>0.01</v>
      </c>
      <c r="K66" s="128"/>
      <c r="L66" s="205">
        <f t="shared" si="11"/>
        <v>14000</v>
      </c>
      <c r="M66" s="205">
        <f t="shared" si="7"/>
        <v>22500</v>
      </c>
      <c r="N66" s="207">
        <f t="shared" si="8"/>
        <v>1</v>
      </c>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row>
    <row r="67" spans="2:41" ht="12.6" customHeight="1" x14ac:dyDescent="0.2">
      <c r="B67" s="493"/>
      <c r="C67" s="114"/>
      <c r="D67" s="114">
        <v>1</v>
      </c>
      <c r="E67" s="182">
        <v>40664</v>
      </c>
      <c r="F67" s="114">
        <v>7</v>
      </c>
      <c r="G67" s="204">
        <f t="shared" si="9"/>
        <v>1575</v>
      </c>
      <c r="H67" s="114">
        <v>10</v>
      </c>
      <c r="I67" s="204">
        <f t="shared" si="10"/>
        <v>400</v>
      </c>
      <c r="J67" s="339">
        <v>0.02</v>
      </c>
      <c r="K67" s="128"/>
      <c r="L67" s="205">
        <f t="shared" si="11"/>
        <v>20000</v>
      </c>
      <c r="M67" s="205">
        <f t="shared" si="7"/>
        <v>31500</v>
      </c>
      <c r="N67" s="207">
        <f t="shared" si="8"/>
        <v>2</v>
      </c>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row>
    <row r="68" spans="2:41" ht="12.6" customHeight="1" x14ac:dyDescent="0.2">
      <c r="B68" s="493"/>
      <c r="C68" s="114"/>
      <c r="D68" s="114">
        <v>1</v>
      </c>
      <c r="E68" s="182">
        <v>40678</v>
      </c>
      <c r="F68" s="114">
        <v>7</v>
      </c>
      <c r="G68" s="204">
        <f t="shared" si="9"/>
        <v>1575</v>
      </c>
      <c r="H68" s="114">
        <v>13</v>
      </c>
      <c r="I68" s="204">
        <f t="shared" si="10"/>
        <v>400</v>
      </c>
      <c r="J68" s="339">
        <v>0.03</v>
      </c>
      <c r="K68" s="128"/>
      <c r="L68" s="205">
        <f t="shared" si="11"/>
        <v>26000</v>
      </c>
      <c r="M68" s="205">
        <f t="shared" si="7"/>
        <v>31500</v>
      </c>
      <c r="N68" s="207">
        <f t="shared" si="8"/>
        <v>3</v>
      </c>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row>
    <row r="69" spans="2:41" ht="12.6" customHeight="1" x14ac:dyDescent="0.2">
      <c r="B69" s="493"/>
      <c r="C69" s="114"/>
      <c r="D69" s="114">
        <v>1</v>
      </c>
      <c r="E69" s="182">
        <v>40695</v>
      </c>
      <c r="F69" s="114">
        <v>6.5</v>
      </c>
      <c r="G69" s="204">
        <f t="shared" si="9"/>
        <v>1462.5</v>
      </c>
      <c r="H69" s="114">
        <v>16</v>
      </c>
      <c r="I69" s="204">
        <f t="shared" si="10"/>
        <v>400</v>
      </c>
      <c r="J69" s="339">
        <v>0.04</v>
      </c>
      <c r="K69" s="128"/>
      <c r="L69" s="205">
        <f t="shared" si="11"/>
        <v>32000</v>
      </c>
      <c r="M69" s="205">
        <f t="shared" si="7"/>
        <v>29250</v>
      </c>
      <c r="N69" s="207">
        <f t="shared" si="8"/>
        <v>4</v>
      </c>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row>
    <row r="70" spans="2:41" ht="12.6" customHeight="1" x14ac:dyDescent="0.2">
      <c r="B70" s="493"/>
      <c r="C70" s="114"/>
      <c r="D70" s="114">
        <v>1</v>
      </c>
      <c r="E70" s="182">
        <v>40709</v>
      </c>
      <c r="F70" s="114">
        <v>6</v>
      </c>
      <c r="G70" s="204">
        <f t="shared" si="9"/>
        <v>1350</v>
      </c>
      <c r="H70" s="114">
        <v>19</v>
      </c>
      <c r="I70" s="204">
        <f t="shared" si="10"/>
        <v>400</v>
      </c>
      <c r="J70" s="339">
        <v>0.05</v>
      </c>
      <c r="K70" s="128"/>
      <c r="L70" s="205">
        <f t="shared" si="11"/>
        <v>38000</v>
      </c>
      <c r="M70" s="205">
        <f t="shared" si="7"/>
        <v>27000</v>
      </c>
      <c r="N70" s="207">
        <f t="shared" si="8"/>
        <v>5</v>
      </c>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row>
    <row r="71" spans="2:41" ht="12.6" customHeight="1" x14ac:dyDescent="0.2">
      <c r="B71" s="493"/>
      <c r="C71" s="114"/>
      <c r="D71" s="114">
        <v>1</v>
      </c>
      <c r="E71" s="182">
        <v>40725</v>
      </c>
      <c r="F71" s="114">
        <v>5.5</v>
      </c>
      <c r="G71" s="204">
        <f t="shared" si="9"/>
        <v>1237.5</v>
      </c>
      <c r="H71" s="114">
        <v>23</v>
      </c>
      <c r="I71" s="204">
        <f t="shared" si="10"/>
        <v>533.33333333333337</v>
      </c>
      <c r="J71" s="339">
        <v>0.05</v>
      </c>
      <c r="K71" s="128"/>
      <c r="L71" s="205">
        <f t="shared" si="11"/>
        <v>46000</v>
      </c>
      <c r="M71" s="205">
        <f t="shared" si="7"/>
        <v>24750</v>
      </c>
      <c r="N71" s="207">
        <f t="shared" si="8"/>
        <v>5</v>
      </c>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row>
    <row r="72" spans="2:41" ht="12.6" customHeight="1" x14ac:dyDescent="0.2">
      <c r="B72" s="493"/>
      <c r="C72" s="114"/>
      <c r="D72" s="114">
        <v>1</v>
      </c>
      <c r="E72" s="182">
        <v>40739</v>
      </c>
      <c r="F72" s="114">
        <v>5</v>
      </c>
      <c r="G72" s="204">
        <f t="shared" si="9"/>
        <v>1125</v>
      </c>
      <c r="H72" s="114">
        <v>24</v>
      </c>
      <c r="I72" s="204">
        <f t="shared" si="10"/>
        <v>133.33333333333334</v>
      </c>
      <c r="J72" s="339">
        <v>0.02</v>
      </c>
      <c r="K72" s="128"/>
      <c r="L72" s="205">
        <f t="shared" si="11"/>
        <v>48000</v>
      </c>
      <c r="M72" s="205">
        <f t="shared" si="7"/>
        <v>22500</v>
      </c>
      <c r="N72" s="207">
        <f t="shared" si="8"/>
        <v>2</v>
      </c>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row>
    <row r="73" spans="2:41" ht="12.6" customHeight="1" x14ac:dyDescent="0.2">
      <c r="B73" s="493"/>
      <c r="C73" s="114"/>
      <c r="D73" s="114">
        <v>1</v>
      </c>
      <c r="E73" s="182">
        <v>40756</v>
      </c>
      <c r="F73" s="114">
        <v>4.5</v>
      </c>
      <c r="G73" s="204">
        <f t="shared" si="9"/>
        <v>1012.5</v>
      </c>
      <c r="H73" s="114">
        <v>23</v>
      </c>
      <c r="I73" s="204">
        <f t="shared" si="10"/>
        <v>-133.33333333333334</v>
      </c>
      <c r="J73" s="339">
        <v>0.01</v>
      </c>
      <c r="K73" s="128"/>
      <c r="L73" s="205">
        <f t="shared" si="11"/>
        <v>46000</v>
      </c>
      <c r="M73" s="205">
        <f t="shared" si="7"/>
        <v>20250</v>
      </c>
      <c r="N73" s="207">
        <f t="shared" si="8"/>
        <v>1</v>
      </c>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row>
    <row r="74" spans="2:41" ht="12.6" customHeight="1" x14ac:dyDescent="0.2">
      <c r="B74" s="493"/>
      <c r="C74" s="114"/>
      <c r="D74" s="114">
        <v>1</v>
      </c>
      <c r="E74" s="182">
        <v>40770</v>
      </c>
      <c r="F74" s="114">
        <v>4</v>
      </c>
      <c r="G74" s="204">
        <f t="shared" si="9"/>
        <v>900</v>
      </c>
      <c r="H74" s="114">
        <v>20</v>
      </c>
      <c r="I74" s="204">
        <f t="shared" si="10"/>
        <v>-400</v>
      </c>
      <c r="J74" s="339">
        <v>0.01</v>
      </c>
      <c r="K74" s="128"/>
      <c r="L74" s="205">
        <f t="shared" si="11"/>
        <v>40000</v>
      </c>
      <c r="M74" s="205">
        <f t="shared" si="7"/>
        <v>18000</v>
      </c>
      <c r="N74" s="207">
        <f t="shared" si="8"/>
        <v>1</v>
      </c>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row>
    <row r="75" spans="2:41" ht="12.6" customHeight="1" x14ac:dyDescent="0.2">
      <c r="B75" s="493"/>
      <c r="C75" s="114"/>
      <c r="D75" s="114"/>
      <c r="E75" s="182">
        <v>40787</v>
      </c>
      <c r="F75" s="114">
        <v>3.5</v>
      </c>
      <c r="G75" s="204">
        <f t="shared" si="9"/>
        <v>787.5</v>
      </c>
      <c r="H75" s="114">
        <v>14</v>
      </c>
      <c r="I75" s="204">
        <f t="shared" si="10"/>
        <v>-800</v>
      </c>
      <c r="J75" s="339">
        <v>0.01</v>
      </c>
      <c r="K75" s="128"/>
      <c r="L75" s="205">
        <f t="shared" si="11"/>
        <v>28000</v>
      </c>
      <c r="M75" s="205">
        <f t="shared" si="7"/>
        <v>15750</v>
      </c>
      <c r="N75" s="207">
        <f t="shared" si="8"/>
        <v>1</v>
      </c>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row>
    <row r="76" spans="2:41" ht="12.6" customHeight="1" x14ac:dyDescent="0.2">
      <c r="B76" s="493"/>
      <c r="C76" s="114"/>
      <c r="D76" s="114"/>
      <c r="E76" s="182">
        <v>40801</v>
      </c>
      <c r="F76" s="114">
        <v>4</v>
      </c>
      <c r="G76" s="204">
        <f t="shared" si="9"/>
        <v>900</v>
      </c>
      <c r="H76" s="114">
        <v>12</v>
      </c>
      <c r="I76" s="204">
        <f t="shared" si="10"/>
        <v>-266.66666666666669</v>
      </c>
      <c r="J76" s="339">
        <v>0.01</v>
      </c>
      <c r="K76" s="128"/>
      <c r="L76" s="205">
        <f t="shared" si="11"/>
        <v>24000</v>
      </c>
      <c r="M76" s="205">
        <f t="shared" si="7"/>
        <v>18000</v>
      </c>
      <c r="N76" s="207">
        <f t="shared" si="8"/>
        <v>1</v>
      </c>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row>
    <row r="77" spans="2:41" ht="12.6" customHeight="1" x14ac:dyDescent="0.2">
      <c r="B77" s="493"/>
      <c r="C77" s="114">
        <v>1</v>
      </c>
      <c r="D77" s="114"/>
      <c r="E77" s="182">
        <v>40817</v>
      </c>
      <c r="F77" s="114">
        <v>3</v>
      </c>
      <c r="G77" s="204">
        <f t="shared" si="9"/>
        <v>675</v>
      </c>
      <c r="H77" s="114">
        <v>10</v>
      </c>
      <c r="I77" s="204">
        <f t="shared" si="10"/>
        <v>-266.66666666666669</v>
      </c>
      <c r="J77" s="339">
        <v>0</v>
      </c>
      <c r="K77" s="128"/>
      <c r="L77" s="205">
        <f t="shared" si="11"/>
        <v>20000</v>
      </c>
      <c r="M77" s="205">
        <f t="shared" si="7"/>
        <v>13500</v>
      </c>
      <c r="N77" s="207">
        <f t="shared" si="8"/>
        <v>0</v>
      </c>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row>
    <row r="78" spans="2:41" ht="12.6" customHeight="1" x14ac:dyDescent="0.2">
      <c r="B78" s="493"/>
      <c r="C78" s="114">
        <v>1</v>
      </c>
      <c r="D78" s="114"/>
      <c r="E78" s="182">
        <v>40831</v>
      </c>
      <c r="F78" s="114">
        <v>2</v>
      </c>
      <c r="G78" s="204">
        <f t="shared" si="9"/>
        <v>450</v>
      </c>
      <c r="H78" s="114">
        <v>9</v>
      </c>
      <c r="I78" s="204">
        <f t="shared" si="10"/>
        <v>-133.33333333333334</v>
      </c>
      <c r="J78" s="339">
        <v>0</v>
      </c>
      <c r="K78" s="128"/>
      <c r="L78" s="205">
        <f t="shared" si="11"/>
        <v>18000</v>
      </c>
      <c r="M78" s="205">
        <f t="shared" si="7"/>
        <v>9000</v>
      </c>
      <c r="N78" s="207">
        <f t="shared" si="8"/>
        <v>0</v>
      </c>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row>
    <row r="79" spans="2:41" ht="12.6" customHeight="1" x14ac:dyDescent="0.2">
      <c r="B79" s="493"/>
      <c r="C79" s="114">
        <v>1</v>
      </c>
      <c r="D79" s="114"/>
      <c r="E79" s="182">
        <v>40848</v>
      </c>
      <c r="F79" s="114">
        <v>1</v>
      </c>
      <c r="G79" s="204">
        <f t="shared" si="9"/>
        <v>225</v>
      </c>
      <c r="H79" s="114">
        <v>8</v>
      </c>
      <c r="I79" s="204">
        <f t="shared" si="10"/>
        <v>-133.33333333333334</v>
      </c>
      <c r="J79" s="339">
        <v>0</v>
      </c>
      <c r="K79" s="128"/>
      <c r="L79" s="205">
        <f t="shared" si="11"/>
        <v>16000</v>
      </c>
      <c r="M79" s="205">
        <f t="shared" si="7"/>
        <v>4500</v>
      </c>
      <c r="N79" s="207">
        <f t="shared" si="8"/>
        <v>0</v>
      </c>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row>
    <row r="80" spans="2:41" ht="12.6" customHeight="1" x14ac:dyDescent="0.2">
      <c r="B80" s="493"/>
      <c r="C80" s="114">
        <v>1</v>
      </c>
      <c r="D80" s="114"/>
      <c r="E80" s="182">
        <v>40862</v>
      </c>
      <c r="F80" s="114">
        <v>0</v>
      </c>
      <c r="G80" s="204">
        <f t="shared" si="9"/>
        <v>0</v>
      </c>
      <c r="H80" s="114">
        <v>7</v>
      </c>
      <c r="I80" s="204">
        <f t="shared" si="10"/>
        <v>-133.33333333333334</v>
      </c>
      <c r="J80" s="339">
        <v>0</v>
      </c>
      <c r="K80" s="128"/>
      <c r="L80" s="205">
        <f t="shared" si="11"/>
        <v>14000</v>
      </c>
      <c r="M80" s="205">
        <f t="shared" si="7"/>
        <v>0</v>
      </c>
      <c r="N80" s="207">
        <f t="shared" si="8"/>
        <v>0</v>
      </c>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row>
    <row r="81" spans="2:41" ht="12.6" customHeight="1" x14ac:dyDescent="0.2">
      <c r="B81" s="493"/>
      <c r="C81" s="114">
        <v>1</v>
      </c>
      <c r="D81" s="114"/>
      <c r="E81" s="182">
        <v>40878</v>
      </c>
      <c r="F81" s="114">
        <v>0</v>
      </c>
      <c r="G81" s="204">
        <f t="shared" si="9"/>
        <v>0</v>
      </c>
      <c r="H81" s="114">
        <v>6</v>
      </c>
      <c r="I81" s="204">
        <f t="shared" si="10"/>
        <v>-133.33333333333334</v>
      </c>
      <c r="J81" s="339">
        <v>0</v>
      </c>
      <c r="K81" s="128"/>
      <c r="L81" s="205">
        <f t="shared" si="11"/>
        <v>12000</v>
      </c>
      <c r="M81" s="205">
        <f t="shared" si="7"/>
        <v>0</v>
      </c>
      <c r="N81" s="207">
        <f t="shared" si="8"/>
        <v>0</v>
      </c>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row>
    <row r="82" spans="2:41" ht="12.6" customHeight="1" x14ac:dyDescent="0.2">
      <c r="B82" s="494"/>
      <c r="C82" s="114">
        <v>1</v>
      </c>
      <c r="D82" s="114"/>
      <c r="E82" s="182">
        <v>40892</v>
      </c>
      <c r="F82" s="114">
        <v>0</v>
      </c>
      <c r="G82" s="209">
        <f t="shared" si="9"/>
        <v>0</v>
      </c>
      <c r="H82" s="114">
        <v>6</v>
      </c>
      <c r="I82" s="204">
        <f t="shared" si="10"/>
        <v>0</v>
      </c>
      <c r="J82" s="339">
        <v>0</v>
      </c>
      <c r="K82" s="128"/>
      <c r="L82" s="205">
        <f t="shared" si="11"/>
        <v>12000</v>
      </c>
      <c r="M82" s="205">
        <f t="shared" si="7"/>
        <v>0</v>
      </c>
      <c r="N82" s="207">
        <f t="shared" si="8"/>
        <v>0</v>
      </c>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row>
    <row r="83" spans="2:41" x14ac:dyDescent="0.2">
      <c r="B83" s="128"/>
      <c r="E83" s="321">
        <v>43100</v>
      </c>
      <c r="F83" s="306">
        <f>F59</f>
        <v>0</v>
      </c>
      <c r="G83" s="306">
        <f t="shared" ref="G83:N83" si="12">G59</f>
        <v>0</v>
      </c>
      <c r="H83" s="306">
        <f t="shared" si="12"/>
        <v>0</v>
      </c>
      <c r="I83" s="306">
        <f t="shared" si="12"/>
        <v>0</v>
      </c>
      <c r="J83" s="341">
        <f t="shared" si="12"/>
        <v>0</v>
      </c>
      <c r="K83" s="306"/>
      <c r="L83" s="306">
        <f t="shared" si="12"/>
        <v>0</v>
      </c>
      <c r="M83" s="306">
        <f t="shared" si="12"/>
        <v>0</v>
      </c>
      <c r="N83" s="322">
        <f t="shared" si="12"/>
        <v>0</v>
      </c>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row>
    <row r="84" spans="2:41" x14ac:dyDescent="0.2">
      <c r="B84" s="128"/>
      <c r="E84" s="128"/>
      <c r="G84" s="128"/>
      <c r="I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row>
    <row r="85" spans="2:41" x14ac:dyDescent="0.2">
      <c r="B85" s="128"/>
      <c r="E85" s="128"/>
      <c r="G85" s="128"/>
      <c r="I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row>
    <row r="86" spans="2:41" ht="191.25" x14ac:dyDescent="0.2">
      <c r="B86" s="195" t="s">
        <v>163</v>
      </c>
      <c r="C86" s="152" t="s">
        <v>45</v>
      </c>
      <c r="D86" s="152" t="s">
        <v>46</v>
      </c>
      <c r="E86" s="197" t="s">
        <v>38</v>
      </c>
      <c r="F86" s="155" t="s">
        <v>39</v>
      </c>
      <c r="G86" s="199" t="s">
        <v>84</v>
      </c>
      <c r="H86" s="156" t="s">
        <v>86</v>
      </c>
      <c r="I86" s="201" t="s">
        <v>85</v>
      </c>
      <c r="J86" s="343" t="s">
        <v>40</v>
      </c>
      <c r="K86" s="128"/>
      <c r="L86" s="200" t="s">
        <v>42</v>
      </c>
      <c r="M86" s="198" t="s">
        <v>43</v>
      </c>
      <c r="N86" s="202" t="s">
        <v>87</v>
      </c>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row>
    <row r="87" spans="2:41" x14ac:dyDescent="0.2">
      <c r="B87" s="493"/>
      <c r="C87" s="114">
        <v>1</v>
      </c>
      <c r="D87" s="114"/>
      <c r="E87" s="182">
        <v>40544</v>
      </c>
      <c r="F87" s="114"/>
      <c r="G87" s="204">
        <f t="shared" ref="G87:G110" si="13">M87/20</f>
        <v>0</v>
      </c>
      <c r="H87" s="114"/>
      <c r="I87" s="205"/>
      <c r="J87" s="339"/>
      <c r="K87" s="128"/>
      <c r="L87" s="205">
        <f>H87*$M$2</f>
        <v>0</v>
      </c>
      <c r="M87" s="205">
        <f>F87*$M$3</f>
        <v>0</v>
      </c>
      <c r="N87" s="207">
        <f t="shared" ref="N87:N110" si="14">J87*100</f>
        <v>0</v>
      </c>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row>
    <row r="88" spans="2:41" x14ac:dyDescent="0.2">
      <c r="B88" s="493"/>
      <c r="C88" s="114">
        <v>1</v>
      </c>
      <c r="D88" s="114"/>
      <c r="E88" s="182">
        <v>40558</v>
      </c>
      <c r="F88" s="114"/>
      <c r="G88" s="204">
        <f t="shared" si="13"/>
        <v>0</v>
      </c>
      <c r="H88" s="114"/>
      <c r="I88" s="204">
        <f t="shared" ref="I88:I110" si="15">(L88-L87)/15</f>
        <v>0</v>
      </c>
      <c r="J88" s="339"/>
      <c r="K88" s="128"/>
      <c r="L88" s="205">
        <f t="shared" ref="L88:L110" si="16">H88*$M$2</f>
        <v>0</v>
      </c>
      <c r="M88" s="205">
        <f t="shared" ref="M88:M110" si="17">F88*$M$3</f>
        <v>0</v>
      </c>
      <c r="N88" s="207">
        <f t="shared" si="14"/>
        <v>0</v>
      </c>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row>
    <row r="89" spans="2:41" x14ac:dyDescent="0.2">
      <c r="B89" s="493"/>
      <c r="C89" s="114">
        <v>1</v>
      </c>
      <c r="D89" s="114"/>
      <c r="E89" s="182">
        <v>40575</v>
      </c>
      <c r="F89" s="114"/>
      <c r="G89" s="204">
        <f t="shared" si="13"/>
        <v>0</v>
      </c>
      <c r="H89" s="114"/>
      <c r="I89" s="204">
        <f t="shared" si="15"/>
        <v>0</v>
      </c>
      <c r="J89" s="339"/>
      <c r="K89" s="128"/>
      <c r="L89" s="205">
        <f t="shared" si="16"/>
        <v>0</v>
      </c>
      <c r="M89" s="205">
        <f t="shared" si="17"/>
        <v>0</v>
      </c>
      <c r="N89" s="207">
        <f t="shared" si="14"/>
        <v>0</v>
      </c>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row>
    <row r="90" spans="2:41" x14ac:dyDescent="0.2">
      <c r="B90" s="493"/>
      <c r="C90" s="114">
        <v>1</v>
      </c>
      <c r="D90" s="114"/>
      <c r="E90" s="182">
        <v>40589</v>
      </c>
      <c r="F90" s="114"/>
      <c r="G90" s="204">
        <f t="shared" si="13"/>
        <v>0</v>
      </c>
      <c r="H90" s="114"/>
      <c r="I90" s="204">
        <f t="shared" si="15"/>
        <v>0</v>
      </c>
      <c r="J90" s="339"/>
      <c r="K90" s="128"/>
      <c r="L90" s="205">
        <f t="shared" si="16"/>
        <v>0</v>
      </c>
      <c r="M90" s="205">
        <f t="shared" si="17"/>
        <v>0</v>
      </c>
      <c r="N90" s="207">
        <f t="shared" si="14"/>
        <v>0</v>
      </c>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row>
    <row r="91" spans="2:41" x14ac:dyDescent="0.2">
      <c r="B91" s="493"/>
      <c r="C91" s="114">
        <v>1</v>
      </c>
      <c r="D91" s="114"/>
      <c r="E91" s="182">
        <v>40603</v>
      </c>
      <c r="F91" s="114"/>
      <c r="G91" s="204">
        <f t="shared" si="13"/>
        <v>0</v>
      </c>
      <c r="H91" s="114"/>
      <c r="I91" s="204">
        <f t="shared" si="15"/>
        <v>0</v>
      </c>
      <c r="J91" s="339"/>
      <c r="K91" s="128"/>
      <c r="L91" s="205">
        <f t="shared" si="16"/>
        <v>0</v>
      </c>
      <c r="M91" s="205">
        <f t="shared" si="17"/>
        <v>0</v>
      </c>
      <c r="N91" s="207">
        <f t="shared" si="14"/>
        <v>0</v>
      </c>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row>
    <row r="92" spans="2:41" x14ac:dyDescent="0.2">
      <c r="B92" s="493"/>
      <c r="C92" s="114">
        <v>1</v>
      </c>
      <c r="D92" s="114"/>
      <c r="E92" s="182">
        <v>40617</v>
      </c>
      <c r="F92" s="114"/>
      <c r="G92" s="204">
        <f t="shared" si="13"/>
        <v>0</v>
      </c>
      <c r="H92" s="114"/>
      <c r="I92" s="204">
        <f t="shared" si="15"/>
        <v>0</v>
      </c>
      <c r="J92" s="339"/>
      <c r="K92" s="128"/>
      <c r="L92" s="205">
        <f t="shared" si="16"/>
        <v>0</v>
      </c>
      <c r="M92" s="205">
        <f t="shared" si="17"/>
        <v>0</v>
      </c>
      <c r="N92" s="207">
        <f t="shared" si="14"/>
        <v>0</v>
      </c>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row>
    <row r="93" spans="2:41" x14ac:dyDescent="0.2">
      <c r="B93" s="493"/>
      <c r="C93" s="114"/>
      <c r="D93" s="114">
        <v>1</v>
      </c>
      <c r="E93" s="182">
        <v>40634</v>
      </c>
      <c r="F93" s="114"/>
      <c r="G93" s="204">
        <f t="shared" si="13"/>
        <v>0</v>
      </c>
      <c r="H93" s="114">
        <v>6</v>
      </c>
      <c r="I93" s="204">
        <f t="shared" si="15"/>
        <v>800</v>
      </c>
      <c r="J93" s="339"/>
      <c r="K93" s="128"/>
      <c r="L93" s="205">
        <f t="shared" si="16"/>
        <v>12000</v>
      </c>
      <c r="M93" s="205">
        <f t="shared" si="17"/>
        <v>0</v>
      </c>
      <c r="N93" s="207">
        <f t="shared" si="14"/>
        <v>0</v>
      </c>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row>
    <row r="94" spans="2:41" x14ac:dyDescent="0.2">
      <c r="B94" s="493"/>
      <c r="C94" s="114"/>
      <c r="D94" s="114">
        <v>1</v>
      </c>
      <c r="E94" s="182">
        <v>40648</v>
      </c>
      <c r="F94" s="114">
        <v>3</v>
      </c>
      <c r="G94" s="204">
        <f t="shared" si="13"/>
        <v>675</v>
      </c>
      <c r="H94" s="114">
        <v>5</v>
      </c>
      <c r="I94" s="204">
        <f t="shared" si="15"/>
        <v>-133.33333333333334</v>
      </c>
      <c r="J94" s="339"/>
      <c r="K94" s="128"/>
      <c r="L94" s="205">
        <f t="shared" si="16"/>
        <v>10000</v>
      </c>
      <c r="M94" s="205">
        <f t="shared" si="17"/>
        <v>13500</v>
      </c>
      <c r="N94" s="207">
        <f t="shared" si="14"/>
        <v>0</v>
      </c>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row>
    <row r="95" spans="2:41" x14ac:dyDescent="0.2">
      <c r="B95" s="493"/>
      <c r="C95" s="114"/>
      <c r="D95" s="114">
        <v>1</v>
      </c>
      <c r="E95" s="182">
        <v>40664</v>
      </c>
      <c r="F95" s="114">
        <v>4</v>
      </c>
      <c r="G95" s="204">
        <f t="shared" si="13"/>
        <v>900</v>
      </c>
      <c r="H95" s="114">
        <v>9</v>
      </c>
      <c r="I95" s="204">
        <f t="shared" si="15"/>
        <v>533.33333333333337</v>
      </c>
      <c r="J95" s="339"/>
      <c r="K95" s="128"/>
      <c r="L95" s="205">
        <f t="shared" si="16"/>
        <v>18000</v>
      </c>
      <c r="M95" s="205">
        <f t="shared" si="17"/>
        <v>18000</v>
      </c>
      <c r="N95" s="207">
        <f t="shared" si="14"/>
        <v>0</v>
      </c>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row>
    <row r="96" spans="2:41" x14ac:dyDescent="0.2">
      <c r="B96" s="493"/>
      <c r="C96" s="114"/>
      <c r="D96" s="114">
        <v>1</v>
      </c>
      <c r="E96" s="182">
        <v>40678</v>
      </c>
      <c r="F96" s="114">
        <v>7</v>
      </c>
      <c r="G96" s="204">
        <f t="shared" si="13"/>
        <v>1575</v>
      </c>
      <c r="H96" s="114">
        <v>13</v>
      </c>
      <c r="I96" s="204">
        <f t="shared" si="15"/>
        <v>533.33333333333337</v>
      </c>
      <c r="J96" s="339">
        <v>0.05</v>
      </c>
      <c r="K96" s="128"/>
      <c r="L96" s="205">
        <f t="shared" si="16"/>
        <v>26000</v>
      </c>
      <c r="M96" s="205">
        <f t="shared" si="17"/>
        <v>31500</v>
      </c>
      <c r="N96" s="207">
        <f t="shared" si="14"/>
        <v>5</v>
      </c>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row>
    <row r="97" spans="2:41" x14ac:dyDescent="0.2">
      <c r="B97" s="493"/>
      <c r="C97" s="114"/>
      <c r="D97" s="114">
        <v>1</v>
      </c>
      <c r="E97" s="182">
        <v>40695</v>
      </c>
      <c r="F97" s="114">
        <v>8</v>
      </c>
      <c r="G97" s="204">
        <f t="shared" si="13"/>
        <v>1800</v>
      </c>
      <c r="H97" s="114">
        <v>17</v>
      </c>
      <c r="I97" s="204">
        <f t="shared" si="15"/>
        <v>533.33333333333337</v>
      </c>
      <c r="J97" s="339">
        <v>0.05</v>
      </c>
      <c r="K97" s="128"/>
      <c r="L97" s="205">
        <f t="shared" si="16"/>
        <v>34000</v>
      </c>
      <c r="M97" s="205">
        <f t="shared" si="17"/>
        <v>36000</v>
      </c>
      <c r="N97" s="207">
        <f t="shared" si="14"/>
        <v>5</v>
      </c>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row>
    <row r="98" spans="2:41" x14ac:dyDescent="0.2">
      <c r="B98" s="493"/>
      <c r="C98" s="114"/>
      <c r="D98" s="114">
        <v>1</v>
      </c>
      <c r="E98" s="182">
        <v>40709</v>
      </c>
      <c r="F98" s="114">
        <v>8</v>
      </c>
      <c r="G98" s="204">
        <f t="shared" si="13"/>
        <v>1800</v>
      </c>
      <c r="H98" s="114">
        <v>21</v>
      </c>
      <c r="I98" s="204">
        <f t="shared" si="15"/>
        <v>533.33333333333337</v>
      </c>
      <c r="J98" s="339">
        <v>0.05</v>
      </c>
      <c r="K98" s="128"/>
      <c r="L98" s="205">
        <f t="shared" si="16"/>
        <v>42000</v>
      </c>
      <c r="M98" s="205">
        <f t="shared" si="17"/>
        <v>36000</v>
      </c>
      <c r="N98" s="207">
        <f t="shared" si="14"/>
        <v>5</v>
      </c>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row>
    <row r="99" spans="2:41" x14ac:dyDescent="0.2">
      <c r="B99" s="493"/>
      <c r="C99" s="114"/>
      <c r="D99" s="114">
        <v>1</v>
      </c>
      <c r="E99" s="182">
        <v>40725</v>
      </c>
      <c r="F99" s="114">
        <v>8</v>
      </c>
      <c r="G99" s="204">
        <f t="shared" si="13"/>
        <v>1800</v>
      </c>
      <c r="H99" s="114">
        <v>25</v>
      </c>
      <c r="I99" s="204">
        <f t="shared" si="15"/>
        <v>533.33333333333337</v>
      </c>
      <c r="J99" s="339">
        <v>0.05</v>
      </c>
      <c r="K99" s="128"/>
      <c r="L99" s="205">
        <f t="shared" si="16"/>
        <v>50000</v>
      </c>
      <c r="M99" s="205">
        <f t="shared" si="17"/>
        <v>36000</v>
      </c>
      <c r="N99" s="207">
        <f t="shared" si="14"/>
        <v>5</v>
      </c>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row>
    <row r="100" spans="2:41" x14ac:dyDescent="0.2">
      <c r="B100" s="493"/>
      <c r="C100" s="114"/>
      <c r="D100" s="114">
        <v>1</v>
      </c>
      <c r="E100" s="182">
        <v>40739</v>
      </c>
      <c r="F100" s="114">
        <v>5</v>
      </c>
      <c r="G100" s="204">
        <f t="shared" si="13"/>
        <v>1125</v>
      </c>
      <c r="H100" s="114">
        <v>26</v>
      </c>
      <c r="I100" s="204">
        <f t="shared" si="15"/>
        <v>133.33333333333334</v>
      </c>
      <c r="J100" s="339">
        <v>0.05</v>
      </c>
      <c r="K100" s="128"/>
      <c r="L100" s="205">
        <f t="shared" si="16"/>
        <v>52000</v>
      </c>
      <c r="M100" s="205">
        <f t="shared" si="17"/>
        <v>22500</v>
      </c>
      <c r="N100" s="207">
        <f t="shared" si="14"/>
        <v>5</v>
      </c>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row>
    <row r="101" spans="2:41" x14ac:dyDescent="0.2">
      <c r="B101" s="493"/>
      <c r="C101" s="114"/>
      <c r="D101" s="114">
        <v>1</v>
      </c>
      <c r="E101" s="182">
        <v>40756</v>
      </c>
      <c r="F101" s="114">
        <v>4.5</v>
      </c>
      <c r="G101" s="204">
        <f t="shared" si="13"/>
        <v>1012.5</v>
      </c>
      <c r="H101" s="114">
        <v>25</v>
      </c>
      <c r="I101" s="204">
        <f t="shared" si="15"/>
        <v>-133.33333333333334</v>
      </c>
      <c r="J101" s="339">
        <v>0.05</v>
      </c>
      <c r="K101" s="128"/>
      <c r="L101" s="205">
        <f t="shared" si="16"/>
        <v>50000</v>
      </c>
      <c r="M101" s="205">
        <f t="shared" si="17"/>
        <v>20250</v>
      </c>
      <c r="N101" s="207">
        <f t="shared" si="14"/>
        <v>5</v>
      </c>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row>
    <row r="102" spans="2:41" x14ac:dyDescent="0.2">
      <c r="B102" s="493"/>
      <c r="C102" s="114"/>
      <c r="D102" s="114">
        <v>1</v>
      </c>
      <c r="E102" s="182">
        <v>40770</v>
      </c>
      <c r="F102" s="114">
        <v>4</v>
      </c>
      <c r="G102" s="204">
        <f t="shared" si="13"/>
        <v>900</v>
      </c>
      <c r="H102" s="114">
        <v>20</v>
      </c>
      <c r="I102" s="204">
        <f t="shared" si="15"/>
        <v>-666.66666666666663</v>
      </c>
      <c r="J102" s="339">
        <v>0.05</v>
      </c>
      <c r="K102" s="128"/>
      <c r="L102" s="205">
        <f t="shared" si="16"/>
        <v>40000</v>
      </c>
      <c r="M102" s="205">
        <f t="shared" si="17"/>
        <v>18000</v>
      </c>
      <c r="N102" s="207">
        <f t="shared" si="14"/>
        <v>5</v>
      </c>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row>
    <row r="103" spans="2:41" x14ac:dyDescent="0.2">
      <c r="B103" s="493"/>
      <c r="C103" s="114"/>
      <c r="D103" s="114"/>
      <c r="E103" s="182">
        <v>40787</v>
      </c>
      <c r="F103" s="114">
        <v>3.5</v>
      </c>
      <c r="G103" s="204">
        <f t="shared" si="13"/>
        <v>787.5</v>
      </c>
      <c r="H103" s="114">
        <v>14</v>
      </c>
      <c r="I103" s="204">
        <f t="shared" si="15"/>
        <v>-800</v>
      </c>
      <c r="J103" s="339">
        <v>0.02</v>
      </c>
      <c r="K103" s="128"/>
      <c r="L103" s="205">
        <f t="shared" si="16"/>
        <v>28000</v>
      </c>
      <c r="M103" s="205">
        <f t="shared" si="17"/>
        <v>15750</v>
      </c>
      <c r="N103" s="207">
        <f t="shared" si="14"/>
        <v>2</v>
      </c>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row>
    <row r="104" spans="2:41" x14ac:dyDescent="0.2">
      <c r="B104" s="493"/>
      <c r="C104" s="114"/>
      <c r="D104" s="114"/>
      <c r="E104" s="182">
        <v>40801</v>
      </c>
      <c r="F104" s="114">
        <v>4</v>
      </c>
      <c r="G104" s="204">
        <f t="shared" si="13"/>
        <v>900</v>
      </c>
      <c r="H104" s="114">
        <v>12</v>
      </c>
      <c r="I104" s="204">
        <f t="shared" si="15"/>
        <v>-266.66666666666669</v>
      </c>
      <c r="J104" s="339">
        <v>0.02</v>
      </c>
      <c r="K104" s="128"/>
      <c r="L104" s="205">
        <f t="shared" si="16"/>
        <v>24000</v>
      </c>
      <c r="M104" s="205">
        <f t="shared" si="17"/>
        <v>18000</v>
      </c>
      <c r="N104" s="207">
        <f t="shared" si="14"/>
        <v>2</v>
      </c>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row>
    <row r="105" spans="2:41" x14ac:dyDescent="0.2">
      <c r="B105" s="493"/>
      <c r="C105" s="114">
        <v>1</v>
      </c>
      <c r="D105" s="114"/>
      <c r="E105" s="182">
        <v>40817</v>
      </c>
      <c r="F105" s="114">
        <v>3</v>
      </c>
      <c r="G105" s="204">
        <f t="shared" si="13"/>
        <v>675</v>
      </c>
      <c r="H105" s="114">
        <v>10</v>
      </c>
      <c r="I105" s="204">
        <f t="shared" si="15"/>
        <v>-266.66666666666669</v>
      </c>
      <c r="J105" s="339">
        <v>0</v>
      </c>
      <c r="K105" s="128"/>
      <c r="L105" s="205">
        <f t="shared" si="16"/>
        <v>20000</v>
      </c>
      <c r="M105" s="205">
        <f t="shared" si="17"/>
        <v>13500</v>
      </c>
      <c r="N105" s="207">
        <f t="shared" si="14"/>
        <v>0</v>
      </c>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row>
    <row r="106" spans="2:41" x14ac:dyDescent="0.2">
      <c r="B106" s="493"/>
      <c r="C106" s="114">
        <v>1</v>
      </c>
      <c r="D106" s="114"/>
      <c r="E106" s="182">
        <v>40831</v>
      </c>
      <c r="F106" s="114">
        <v>2</v>
      </c>
      <c r="G106" s="204">
        <f t="shared" si="13"/>
        <v>450</v>
      </c>
      <c r="H106" s="114">
        <v>9</v>
      </c>
      <c r="I106" s="204">
        <f t="shared" si="15"/>
        <v>-133.33333333333334</v>
      </c>
      <c r="J106" s="339">
        <v>0</v>
      </c>
      <c r="K106" s="128"/>
      <c r="L106" s="205">
        <f t="shared" si="16"/>
        <v>18000</v>
      </c>
      <c r="M106" s="205">
        <f t="shared" si="17"/>
        <v>9000</v>
      </c>
      <c r="N106" s="207">
        <f t="shared" si="14"/>
        <v>0</v>
      </c>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row>
    <row r="107" spans="2:41" x14ac:dyDescent="0.2">
      <c r="B107" s="493"/>
      <c r="C107" s="114">
        <v>1</v>
      </c>
      <c r="D107" s="114"/>
      <c r="E107" s="182">
        <v>40848</v>
      </c>
      <c r="F107" s="114">
        <v>1</v>
      </c>
      <c r="G107" s="204">
        <f t="shared" si="13"/>
        <v>225</v>
      </c>
      <c r="H107" s="114">
        <v>8</v>
      </c>
      <c r="I107" s="204">
        <f t="shared" si="15"/>
        <v>-133.33333333333334</v>
      </c>
      <c r="J107" s="339">
        <v>0</v>
      </c>
      <c r="K107" s="128"/>
      <c r="L107" s="205">
        <f t="shared" si="16"/>
        <v>16000</v>
      </c>
      <c r="M107" s="205">
        <f t="shared" si="17"/>
        <v>4500</v>
      </c>
      <c r="N107" s="207">
        <f t="shared" si="14"/>
        <v>0</v>
      </c>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row>
    <row r="108" spans="2:41" x14ac:dyDescent="0.2">
      <c r="B108" s="493"/>
      <c r="C108" s="114">
        <v>1</v>
      </c>
      <c r="D108" s="114"/>
      <c r="E108" s="182">
        <v>40862</v>
      </c>
      <c r="F108" s="114">
        <v>0</v>
      </c>
      <c r="G108" s="204">
        <f t="shared" si="13"/>
        <v>0</v>
      </c>
      <c r="H108" s="114">
        <v>7</v>
      </c>
      <c r="I108" s="204">
        <f t="shared" si="15"/>
        <v>-133.33333333333334</v>
      </c>
      <c r="J108" s="339">
        <v>0</v>
      </c>
      <c r="K108" s="128"/>
      <c r="L108" s="205">
        <f t="shared" si="16"/>
        <v>14000</v>
      </c>
      <c r="M108" s="205">
        <f t="shared" si="17"/>
        <v>0</v>
      </c>
      <c r="N108" s="207">
        <f t="shared" si="14"/>
        <v>0</v>
      </c>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row>
    <row r="109" spans="2:41" x14ac:dyDescent="0.2">
      <c r="B109" s="493"/>
      <c r="C109" s="114">
        <v>1</v>
      </c>
      <c r="D109" s="114"/>
      <c r="E109" s="182">
        <v>40878</v>
      </c>
      <c r="F109" s="114">
        <v>0</v>
      </c>
      <c r="G109" s="204">
        <f t="shared" si="13"/>
        <v>0</v>
      </c>
      <c r="H109" s="114">
        <v>6</v>
      </c>
      <c r="I109" s="204">
        <f t="shared" si="15"/>
        <v>-133.33333333333334</v>
      </c>
      <c r="J109" s="339">
        <v>0</v>
      </c>
      <c r="K109" s="128"/>
      <c r="L109" s="205">
        <f t="shared" si="16"/>
        <v>12000</v>
      </c>
      <c r="M109" s="205">
        <f t="shared" si="17"/>
        <v>0</v>
      </c>
      <c r="N109" s="207">
        <f t="shared" si="14"/>
        <v>0</v>
      </c>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row>
    <row r="110" spans="2:41" x14ac:dyDescent="0.2">
      <c r="B110" s="494"/>
      <c r="C110" s="114">
        <v>1</v>
      </c>
      <c r="D110" s="114"/>
      <c r="E110" s="182">
        <v>40892</v>
      </c>
      <c r="F110" s="114">
        <v>0</v>
      </c>
      <c r="G110" s="209">
        <f t="shared" si="13"/>
        <v>0</v>
      </c>
      <c r="H110" s="114">
        <v>6</v>
      </c>
      <c r="I110" s="204">
        <f t="shared" si="15"/>
        <v>0</v>
      </c>
      <c r="J110" s="339">
        <v>0</v>
      </c>
      <c r="K110" s="128"/>
      <c r="L110" s="205">
        <f t="shared" si="16"/>
        <v>12000</v>
      </c>
      <c r="M110" s="205">
        <f t="shared" si="17"/>
        <v>0</v>
      </c>
      <c r="N110" s="207">
        <f t="shared" si="14"/>
        <v>0</v>
      </c>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row>
    <row r="111" spans="2:41" x14ac:dyDescent="0.2">
      <c r="B111" s="128"/>
      <c r="E111" s="321">
        <v>43100</v>
      </c>
      <c r="F111" s="306">
        <f>F87</f>
        <v>0</v>
      </c>
      <c r="G111" s="306">
        <f t="shared" ref="G111:N111" si="18">G87</f>
        <v>0</v>
      </c>
      <c r="H111" s="306">
        <f t="shared" si="18"/>
        <v>0</v>
      </c>
      <c r="I111" s="306">
        <f t="shared" si="18"/>
        <v>0</v>
      </c>
      <c r="J111" s="341">
        <f t="shared" si="18"/>
        <v>0</v>
      </c>
      <c r="K111" s="306"/>
      <c r="L111" s="306">
        <f t="shared" si="18"/>
        <v>0</v>
      </c>
      <c r="M111" s="306">
        <f t="shared" si="18"/>
        <v>0</v>
      </c>
      <c r="N111" s="322">
        <f t="shared" si="18"/>
        <v>0</v>
      </c>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row>
    <row r="112" spans="2:41" x14ac:dyDescent="0.2">
      <c r="B112" s="128"/>
      <c r="E112" s="128"/>
      <c r="G112" s="128"/>
      <c r="I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row>
    <row r="113" spans="2:41" x14ac:dyDescent="0.2">
      <c r="B113" s="128"/>
      <c r="E113" s="128"/>
      <c r="G113" s="128"/>
      <c r="I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row>
    <row r="114" spans="2:41" ht="191.25" x14ac:dyDescent="0.2">
      <c r="B114" s="195" t="s">
        <v>363</v>
      </c>
      <c r="C114" s="152" t="s">
        <v>45</v>
      </c>
      <c r="D114" s="152" t="s">
        <v>46</v>
      </c>
      <c r="E114" s="197" t="s">
        <v>38</v>
      </c>
      <c r="F114" s="155" t="s">
        <v>39</v>
      </c>
      <c r="G114" s="199" t="s">
        <v>84</v>
      </c>
      <c r="H114" s="156" t="s">
        <v>86</v>
      </c>
      <c r="I114" s="201" t="s">
        <v>85</v>
      </c>
      <c r="J114" s="343" t="s">
        <v>40</v>
      </c>
      <c r="K114" s="128"/>
      <c r="L114" s="200" t="s">
        <v>42</v>
      </c>
      <c r="M114" s="198" t="s">
        <v>43</v>
      </c>
      <c r="N114" s="202" t="s">
        <v>87</v>
      </c>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row>
    <row r="115" spans="2:41" x14ac:dyDescent="0.2">
      <c r="B115" s="491"/>
      <c r="C115" s="114"/>
      <c r="D115" s="114">
        <v>1</v>
      </c>
      <c r="E115" s="182">
        <v>40544</v>
      </c>
      <c r="F115" s="114">
        <v>2</v>
      </c>
      <c r="G115" s="204">
        <f t="shared" ref="G115:G138" si="19">M115/20</f>
        <v>450</v>
      </c>
      <c r="H115" s="114">
        <v>7</v>
      </c>
      <c r="I115" s="205"/>
      <c r="J115" s="339">
        <v>0</v>
      </c>
      <c r="K115" s="128"/>
      <c r="L115" s="205">
        <f>H115*$M$2</f>
        <v>14000</v>
      </c>
      <c r="M115" s="205">
        <f>F115*$M$3</f>
        <v>9000</v>
      </c>
      <c r="N115" s="207">
        <f t="shared" ref="N115:N138" si="20">J115*100</f>
        <v>0</v>
      </c>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row>
    <row r="116" spans="2:41" x14ac:dyDescent="0.2">
      <c r="B116" s="491"/>
      <c r="C116" s="114"/>
      <c r="D116" s="114">
        <v>1</v>
      </c>
      <c r="E116" s="182">
        <v>40558</v>
      </c>
      <c r="F116" s="114">
        <v>3</v>
      </c>
      <c r="G116" s="204">
        <f t="shared" si="19"/>
        <v>675</v>
      </c>
      <c r="H116" s="114">
        <v>7</v>
      </c>
      <c r="I116" s="204">
        <f t="shared" ref="I116:I138" si="21">(L116-L115)/15</f>
        <v>0</v>
      </c>
      <c r="J116" s="339">
        <v>0</v>
      </c>
      <c r="K116" s="128"/>
      <c r="L116" s="205">
        <f t="shared" ref="L116:L138" si="22">H116*$M$2</f>
        <v>14000</v>
      </c>
      <c r="M116" s="205">
        <f t="shared" ref="M116:M138" si="23">F116*$M$3</f>
        <v>13500</v>
      </c>
      <c r="N116" s="207">
        <f t="shared" si="20"/>
        <v>0</v>
      </c>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row>
    <row r="117" spans="2:41" x14ac:dyDescent="0.2">
      <c r="B117" s="491"/>
      <c r="C117" s="114"/>
      <c r="D117" s="114">
        <v>1</v>
      </c>
      <c r="E117" s="182">
        <v>40575</v>
      </c>
      <c r="F117" s="114">
        <v>4</v>
      </c>
      <c r="G117" s="204">
        <f t="shared" si="19"/>
        <v>900</v>
      </c>
      <c r="H117" s="114">
        <v>10</v>
      </c>
      <c r="I117" s="204">
        <f t="shared" si="21"/>
        <v>400</v>
      </c>
      <c r="J117" s="339">
        <v>0</v>
      </c>
      <c r="K117" s="128"/>
      <c r="L117" s="205">
        <f t="shared" si="22"/>
        <v>20000</v>
      </c>
      <c r="M117" s="205">
        <f t="shared" si="23"/>
        <v>18000</v>
      </c>
      <c r="N117" s="207">
        <f t="shared" si="20"/>
        <v>0</v>
      </c>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row>
    <row r="118" spans="2:41" x14ac:dyDescent="0.2">
      <c r="B118" s="491"/>
      <c r="C118" s="114"/>
      <c r="D118" s="114">
        <v>1</v>
      </c>
      <c r="E118" s="182">
        <v>40589</v>
      </c>
      <c r="F118" s="114">
        <v>5</v>
      </c>
      <c r="G118" s="204">
        <f t="shared" si="19"/>
        <v>1125</v>
      </c>
      <c r="H118" s="114">
        <v>12</v>
      </c>
      <c r="I118" s="204">
        <f t="shared" si="21"/>
        <v>266.66666666666669</v>
      </c>
      <c r="J118" s="339">
        <v>0</v>
      </c>
      <c r="K118" s="128"/>
      <c r="L118" s="205">
        <f t="shared" si="22"/>
        <v>24000</v>
      </c>
      <c r="M118" s="205">
        <f t="shared" si="23"/>
        <v>22500</v>
      </c>
      <c r="N118" s="207">
        <f t="shared" si="20"/>
        <v>0</v>
      </c>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row>
    <row r="119" spans="2:41" x14ac:dyDescent="0.2">
      <c r="B119" s="491"/>
      <c r="C119" s="114"/>
      <c r="D119" s="114">
        <v>1</v>
      </c>
      <c r="E119" s="182">
        <v>40603</v>
      </c>
      <c r="F119" s="114">
        <v>7</v>
      </c>
      <c r="G119" s="204">
        <f t="shared" si="19"/>
        <v>1575</v>
      </c>
      <c r="H119" s="114">
        <v>12</v>
      </c>
      <c r="I119" s="204">
        <f t="shared" si="21"/>
        <v>0</v>
      </c>
      <c r="J119" s="339">
        <v>0</v>
      </c>
      <c r="K119" s="128"/>
      <c r="L119" s="205">
        <f t="shared" si="22"/>
        <v>24000</v>
      </c>
      <c r="M119" s="205">
        <f t="shared" si="23"/>
        <v>31500</v>
      </c>
      <c r="N119" s="207">
        <f t="shared" si="20"/>
        <v>0</v>
      </c>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row>
    <row r="120" spans="2:41" x14ac:dyDescent="0.2">
      <c r="B120" s="491"/>
      <c r="C120" s="114"/>
      <c r="D120" s="114">
        <v>1</v>
      </c>
      <c r="E120" s="182">
        <v>40617</v>
      </c>
      <c r="F120" s="114">
        <v>7.5</v>
      </c>
      <c r="G120" s="204">
        <f t="shared" si="19"/>
        <v>1687.5</v>
      </c>
      <c r="H120" s="114">
        <v>14</v>
      </c>
      <c r="I120" s="204">
        <f t="shared" si="21"/>
        <v>266.66666666666669</v>
      </c>
      <c r="J120" s="339">
        <v>0.02</v>
      </c>
      <c r="K120" s="128"/>
      <c r="L120" s="205">
        <f t="shared" si="22"/>
        <v>28000</v>
      </c>
      <c r="M120" s="205">
        <f t="shared" si="23"/>
        <v>33750</v>
      </c>
      <c r="N120" s="207">
        <f t="shared" si="20"/>
        <v>2</v>
      </c>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row>
    <row r="121" spans="2:41" x14ac:dyDescent="0.2">
      <c r="B121" s="491"/>
      <c r="C121" s="114"/>
      <c r="D121" s="114">
        <v>1</v>
      </c>
      <c r="E121" s="182">
        <v>40634</v>
      </c>
      <c r="F121" s="114">
        <v>8</v>
      </c>
      <c r="G121" s="204">
        <f t="shared" si="19"/>
        <v>1800</v>
      </c>
      <c r="H121" s="114">
        <v>16</v>
      </c>
      <c r="I121" s="204">
        <f t="shared" si="21"/>
        <v>266.66666666666669</v>
      </c>
      <c r="J121" s="339">
        <v>0.03</v>
      </c>
      <c r="K121" s="128"/>
      <c r="L121" s="205">
        <f t="shared" si="22"/>
        <v>32000</v>
      </c>
      <c r="M121" s="205">
        <f t="shared" si="23"/>
        <v>36000</v>
      </c>
      <c r="N121" s="207">
        <f t="shared" si="20"/>
        <v>3</v>
      </c>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row>
    <row r="122" spans="2:41" x14ac:dyDescent="0.2">
      <c r="B122" s="491"/>
      <c r="C122" s="114"/>
      <c r="D122" s="114">
        <v>1</v>
      </c>
      <c r="E122" s="182">
        <v>40648</v>
      </c>
      <c r="F122" s="114">
        <v>7</v>
      </c>
      <c r="G122" s="204">
        <f t="shared" si="19"/>
        <v>1575</v>
      </c>
      <c r="H122" s="114">
        <v>18</v>
      </c>
      <c r="I122" s="204">
        <f t="shared" si="21"/>
        <v>266.66666666666669</v>
      </c>
      <c r="J122" s="339">
        <v>0.06</v>
      </c>
      <c r="K122" s="128"/>
      <c r="L122" s="205">
        <f t="shared" si="22"/>
        <v>36000</v>
      </c>
      <c r="M122" s="205">
        <f t="shared" si="23"/>
        <v>31500</v>
      </c>
      <c r="N122" s="207">
        <f t="shared" si="20"/>
        <v>6</v>
      </c>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row>
    <row r="123" spans="2:41" x14ac:dyDescent="0.2">
      <c r="B123" s="491"/>
      <c r="C123" s="114"/>
      <c r="D123" s="114">
        <v>1</v>
      </c>
      <c r="E123" s="182">
        <v>40664</v>
      </c>
      <c r="F123" s="114">
        <v>6</v>
      </c>
      <c r="G123" s="204">
        <f t="shared" si="19"/>
        <v>1350</v>
      </c>
      <c r="H123" s="114">
        <v>18</v>
      </c>
      <c r="I123" s="204">
        <f t="shared" si="21"/>
        <v>0</v>
      </c>
      <c r="J123" s="339">
        <v>0.06</v>
      </c>
      <c r="K123" s="128"/>
      <c r="L123" s="205">
        <f t="shared" si="22"/>
        <v>36000</v>
      </c>
      <c r="M123" s="205">
        <f t="shared" si="23"/>
        <v>27000</v>
      </c>
      <c r="N123" s="207">
        <f t="shared" si="20"/>
        <v>6</v>
      </c>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row>
    <row r="124" spans="2:41" x14ac:dyDescent="0.2">
      <c r="B124" s="491"/>
      <c r="C124" s="114"/>
      <c r="D124" s="114">
        <v>1</v>
      </c>
      <c r="E124" s="182">
        <v>40678</v>
      </c>
      <c r="F124" s="114">
        <v>6</v>
      </c>
      <c r="G124" s="204">
        <f t="shared" si="19"/>
        <v>1350</v>
      </c>
      <c r="H124" s="114">
        <v>16</v>
      </c>
      <c r="I124" s="204">
        <f t="shared" si="21"/>
        <v>-266.66666666666669</v>
      </c>
      <c r="J124" s="339">
        <v>0.06</v>
      </c>
      <c r="K124" s="128"/>
      <c r="L124" s="205">
        <f t="shared" si="22"/>
        <v>32000</v>
      </c>
      <c r="M124" s="205">
        <f t="shared" si="23"/>
        <v>27000</v>
      </c>
      <c r="N124" s="207">
        <f t="shared" si="20"/>
        <v>6</v>
      </c>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row>
    <row r="125" spans="2:41" x14ac:dyDescent="0.2">
      <c r="B125" s="491"/>
      <c r="C125" s="114"/>
      <c r="D125" s="114">
        <v>1</v>
      </c>
      <c r="E125" s="182">
        <v>40695</v>
      </c>
      <c r="F125" s="114">
        <v>5</v>
      </c>
      <c r="G125" s="204">
        <f t="shared" si="19"/>
        <v>1125</v>
      </c>
      <c r="H125" s="114">
        <v>15</v>
      </c>
      <c r="I125" s="204">
        <f t="shared" si="21"/>
        <v>-133.33333333333334</v>
      </c>
      <c r="J125" s="339">
        <v>0.05</v>
      </c>
      <c r="K125" s="128"/>
      <c r="L125" s="205">
        <f t="shared" si="22"/>
        <v>30000</v>
      </c>
      <c r="M125" s="205">
        <f t="shared" si="23"/>
        <v>22500</v>
      </c>
      <c r="N125" s="207">
        <f t="shared" si="20"/>
        <v>5</v>
      </c>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row>
    <row r="126" spans="2:41" x14ac:dyDescent="0.2">
      <c r="B126" s="491"/>
      <c r="C126" s="114"/>
      <c r="D126" s="114">
        <v>1</v>
      </c>
      <c r="E126" s="182">
        <v>40709</v>
      </c>
      <c r="F126" s="114">
        <v>4</v>
      </c>
      <c r="G126" s="204">
        <f t="shared" si="19"/>
        <v>900</v>
      </c>
      <c r="H126" s="114">
        <v>14</v>
      </c>
      <c r="I126" s="204">
        <f t="shared" si="21"/>
        <v>-133.33333333333334</v>
      </c>
      <c r="J126" s="339">
        <v>0.05</v>
      </c>
      <c r="K126" s="128"/>
      <c r="L126" s="205">
        <f t="shared" si="22"/>
        <v>28000</v>
      </c>
      <c r="M126" s="205">
        <f t="shared" si="23"/>
        <v>18000</v>
      </c>
      <c r="N126" s="207">
        <f t="shared" si="20"/>
        <v>5</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row>
    <row r="127" spans="2:41" x14ac:dyDescent="0.2">
      <c r="B127" s="491"/>
      <c r="C127" s="114"/>
      <c r="D127" s="114">
        <v>1</v>
      </c>
      <c r="E127" s="182">
        <v>40725</v>
      </c>
      <c r="F127" s="114">
        <v>4</v>
      </c>
      <c r="G127" s="204">
        <f t="shared" si="19"/>
        <v>900</v>
      </c>
      <c r="H127" s="114">
        <v>13</v>
      </c>
      <c r="I127" s="204">
        <f t="shared" si="21"/>
        <v>-133.33333333333334</v>
      </c>
      <c r="J127" s="339">
        <v>0.05</v>
      </c>
      <c r="K127" s="128"/>
      <c r="L127" s="205">
        <f t="shared" si="22"/>
        <v>26000</v>
      </c>
      <c r="M127" s="205">
        <f t="shared" si="23"/>
        <v>18000</v>
      </c>
      <c r="N127" s="207">
        <f t="shared" si="20"/>
        <v>5</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row>
    <row r="128" spans="2:41" x14ac:dyDescent="0.2">
      <c r="B128" s="491"/>
      <c r="C128" s="114"/>
      <c r="D128" s="114">
        <v>1</v>
      </c>
      <c r="E128" s="182">
        <v>40739</v>
      </c>
      <c r="F128" s="114">
        <v>3</v>
      </c>
      <c r="G128" s="204">
        <f t="shared" si="19"/>
        <v>675</v>
      </c>
      <c r="H128" s="114">
        <v>12</v>
      </c>
      <c r="I128" s="204">
        <f t="shared" si="21"/>
        <v>-133.33333333333334</v>
      </c>
      <c r="J128" s="339">
        <v>0.05</v>
      </c>
      <c r="K128" s="128"/>
      <c r="L128" s="205">
        <f t="shared" si="22"/>
        <v>24000</v>
      </c>
      <c r="M128" s="205">
        <f t="shared" si="23"/>
        <v>13500</v>
      </c>
      <c r="N128" s="207">
        <f t="shared" si="20"/>
        <v>5</v>
      </c>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row>
    <row r="129" spans="2:41" x14ac:dyDescent="0.2">
      <c r="B129" s="491"/>
      <c r="C129" s="114"/>
      <c r="D129" s="114">
        <v>1</v>
      </c>
      <c r="E129" s="182">
        <v>40756</v>
      </c>
      <c r="F129" s="114">
        <v>2</v>
      </c>
      <c r="G129" s="204">
        <f t="shared" si="19"/>
        <v>450</v>
      </c>
      <c r="H129" s="114">
        <v>10</v>
      </c>
      <c r="I129" s="204">
        <f t="shared" si="21"/>
        <v>-266.66666666666669</v>
      </c>
      <c r="J129" s="339">
        <v>0.05</v>
      </c>
      <c r="K129" s="128"/>
      <c r="L129" s="205">
        <f t="shared" si="22"/>
        <v>20000</v>
      </c>
      <c r="M129" s="205">
        <f t="shared" si="23"/>
        <v>9000</v>
      </c>
      <c r="N129" s="207">
        <f t="shared" si="20"/>
        <v>5</v>
      </c>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row>
    <row r="130" spans="2:41" x14ac:dyDescent="0.2">
      <c r="B130" s="491"/>
      <c r="C130" s="114">
        <v>1</v>
      </c>
      <c r="D130" s="114">
        <v>1</v>
      </c>
      <c r="E130" s="182">
        <v>40770</v>
      </c>
      <c r="F130" s="114">
        <v>2</v>
      </c>
      <c r="G130" s="204">
        <f t="shared" si="19"/>
        <v>450</v>
      </c>
      <c r="H130" s="114">
        <v>8</v>
      </c>
      <c r="I130" s="204">
        <f t="shared" si="21"/>
        <v>-266.66666666666669</v>
      </c>
      <c r="J130" s="339">
        <v>0.05</v>
      </c>
      <c r="K130" s="128"/>
      <c r="L130" s="205">
        <f t="shared" si="22"/>
        <v>16000</v>
      </c>
      <c r="M130" s="205">
        <f t="shared" si="23"/>
        <v>9000</v>
      </c>
      <c r="N130" s="207">
        <f t="shared" si="20"/>
        <v>5</v>
      </c>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row>
    <row r="131" spans="2:41" x14ac:dyDescent="0.2">
      <c r="B131" s="491"/>
      <c r="C131" s="114">
        <v>1</v>
      </c>
      <c r="D131" s="114">
        <v>1</v>
      </c>
      <c r="E131" s="182">
        <v>40787</v>
      </c>
      <c r="F131" s="114">
        <v>2</v>
      </c>
      <c r="G131" s="204">
        <f t="shared" si="19"/>
        <v>450</v>
      </c>
      <c r="H131" s="114">
        <v>7</v>
      </c>
      <c r="I131" s="204">
        <f t="shared" si="21"/>
        <v>-133.33333333333334</v>
      </c>
      <c r="J131" s="339">
        <v>0.02</v>
      </c>
      <c r="K131" s="128"/>
      <c r="L131" s="205">
        <f t="shared" si="22"/>
        <v>14000</v>
      </c>
      <c r="M131" s="205">
        <f t="shared" si="23"/>
        <v>9000</v>
      </c>
      <c r="N131" s="207">
        <f t="shared" si="20"/>
        <v>2</v>
      </c>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row>
    <row r="132" spans="2:41" x14ac:dyDescent="0.2">
      <c r="B132" s="491"/>
      <c r="C132" s="114">
        <v>1</v>
      </c>
      <c r="D132" s="114">
        <v>1</v>
      </c>
      <c r="E132" s="182">
        <v>40801</v>
      </c>
      <c r="F132" s="114">
        <v>4</v>
      </c>
      <c r="G132" s="204">
        <f t="shared" si="19"/>
        <v>900</v>
      </c>
      <c r="H132" s="114">
        <v>7.5</v>
      </c>
      <c r="I132" s="204">
        <f t="shared" si="21"/>
        <v>66.666666666666671</v>
      </c>
      <c r="J132" s="339">
        <v>0.02</v>
      </c>
      <c r="K132" s="128"/>
      <c r="L132" s="205">
        <f t="shared" si="22"/>
        <v>15000</v>
      </c>
      <c r="M132" s="205">
        <f t="shared" si="23"/>
        <v>18000</v>
      </c>
      <c r="N132" s="207">
        <f t="shared" si="20"/>
        <v>2</v>
      </c>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row>
    <row r="133" spans="2:41" x14ac:dyDescent="0.2">
      <c r="B133" s="491"/>
      <c r="C133" s="114"/>
      <c r="D133" s="114">
        <v>1</v>
      </c>
      <c r="E133" s="182">
        <v>40817</v>
      </c>
      <c r="F133" s="114">
        <v>4</v>
      </c>
      <c r="G133" s="204">
        <f t="shared" si="19"/>
        <v>900</v>
      </c>
      <c r="H133" s="114">
        <v>8</v>
      </c>
      <c r="I133" s="204">
        <f t="shared" si="21"/>
        <v>66.666666666666671</v>
      </c>
      <c r="J133" s="339">
        <v>0</v>
      </c>
      <c r="K133" s="128"/>
      <c r="L133" s="205">
        <f t="shared" si="22"/>
        <v>16000</v>
      </c>
      <c r="M133" s="205">
        <f t="shared" si="23"/>
        <v>18000</v>
      </c>
      <c r="N133" s="207">
        <f t="shared" si="20"/>
        <v>0</v>
      </c>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row>
    <row r="134" spans="2:41" x14ac:dyDescent="0.2">
      <c r="B134" s="491"/>
      <c r="C134" s="114"/>
      <c r="D134" s="114">
        <v>1</v>
      </c>
      <c r="E134" s="182">
        <v>40831</v>
      </c>
      <c r="F134" s="114">
        <v>3</v>
      </c>
      <c r="G134" s="204">
        <f t="shared" si="19"/>
        <v>675</v>
      </c>
      <c r="H134" s="114">
        <v>10</v>
      </c>
      <c r="I134" s="204">
        <f t="shared" si="21"/>
        <v>266.66666666666669</v>
      </c>
      <c r="J134" s="339">
        <v>0</v>
      </c>
      <c r="K134" s="128"/>
      <c r="L134" s="205">
        <f t="shared" si="22"/>
        <v>20000</v>
      </c>
      <c r="M134" s="205">
        <f t="shared" si="23"/>
        <v>13500</v>
      </c>
      <c r="N134" s="207">
        <f t="shared" si="20"/>
        <v>0</v>
      </c>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row>
    <row r="135" spans="2:41" x14ac:dyDescent="0.2">
      <c r="B135" s="491"/>
      <c r="C135" s="114"/>
      <c r="D135" s="114"/>
      <c r="E135" s="182">
        <v>40848</v>
      </c>
      <c r="F135" s="114">
        <v>2</v>
      </c>
      <c r="G135" s="204">
        <f t="shared" si="19"/>
        <v>450</v>
      </c>
      <c r="H135" s="114">
        <v>10</v>
      </c>
      <c r="I135" s="204">
        <f t="shared" si="21"/>
        <v>0</v>
      </c>
      <c r="J135" s="339">
        <v>0</v>
      </c>
      <c r="K135" s="128"/>
      <c r="L135" s="205">
        <f t="shared" si="22"/>
        <v>20000</v>
      </c>
      <c r="M135" s="205">
        <f t="shared" si="23"/>
        <v>9000</v>
      </c>
      <c r="N135" s="207">
        <f t="shared" si="20"/>
        <v>0</v>
      </c>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row>
    <row r="136" spans="2:41" x14ac:dyDescent="0.2">
      <c r="B136" s="491"/>
      <c r="C136" s="114"/>
      <c r="D136" s="114"/>
      <c r="E136" s="182">
        <v>40862</v>
      </c>
      <c r="F136" s="114">
        <v>2</v>
      </c>
      <c r="G136" s="204">
        <f t="shared" si="19"/>
        <v>450</v>
      </c>
      <c r="H136" s="114">
        <v>9</v>
      </c>
      <c r="I136" s="204">
        <f t="shared" si="21"/>
        <v>-133.33333333333334</v>
      </c>
      <c r="J136" s="339">
        <v>0</v>
      </c>
      <c r="K136" s="128"/>
      <c r="L136" s="205">
        <f t="shared" si="22"/>
        <v>18000</v>
      </c>
      <c r="M136" s="205">
        <f t="shared" si="23"/>
        <v>9000</v>
      </c>
      <c r="N136" s="207">
        <f t="shared" si="20"/>
        <v>0</v>
      </c>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row>
    <row r="137" spans="2:41" x14ac:dyDescent="0.2">
      <c r="B137" s="491"/>
      <c r="C137" s="114"/>
      <c r="D137" s="114"/>
      <c r="E137" s="182">
        <v>40878</v>
      </c>
      <c r="F137" s="114">
        <v>2</v>
      </c>
      <c r="G137" s="204">
        <f t="shared" si="19"/>
        <v>450</v>
      </c>
      <c r="H137" s="114">
        <v>8</v>
      </c>
      <c r="I137" s="204">
        <f t="shared" si="21"/>
        <v>-133.33333333333334</v>
      </c>
      <c r="J137" s="339">
        <v>0</v>
      </c>
      <c r="K137" s="128"/>
      <c r="L137" s="205">
        <f t="shared" si="22"/>
        <v>16000</v>
      </c>
      <c r="M137" s="205">
        <f t="shared" si="23"/>
        <v>9000</v>
      </c>
      <c r="N137" s="207">
        <f t="shared" si="20"/>
        <v>0</v>
      </c>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row>
    <row r="138" spans="2:41" x14ac:dyDescent="0.2">
      <c r="B138" s="491"/>
      <c r="C138" s="114"/>
      <c r="D138" s="114"/>
      <c r="E138" s="182">
        <v>40892</v>
      </c>
      <c r="F138" s="114">
        <v>2</v>
      </c>
      <c r="G138" s="209">
        <f t="shared" si="19"/>
        <v>450</v>
      </c>
      <c r="H138" s="114">
        <v>7</v>
      </c>
      <c r="I138" s="204">
        <f t="shared" si="21"/>
        <v>-133.33333333333334</v>
      </c>
      <c r="J138" s="339">
        <v>0</v>
      </c>
      <c r="K138" s="128"/>
      <c r="L138" s="205">
        <f t="shared" si="22"/>
        <v>14000</v>
      </c>
      <c r="M138" s="205">
        <f t="shared" si="23"/>
        <v>9000</v>
      </c>
      <c r="N138" s="207">
        <f t="shared" si="20"/>
        <v>0</v>
      </c>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row>
    <row r="139" spans="2:41" x14ac:dyDescent="0.2">
      <c r="B139" s="128"/>
      <c r="E139" s="321">
        <v>43100</v>
      </c>
      <c r="F139" s="306">
        <f>F115</f>
        <v>2</v>
      </c>
      <c r="G139" s="350"/>
      <c r="H139" s="350">
        <f t="shared" ref="H139:N139" si="24">H115</f>
        <v>7</v>
      </c>
      <c r="I139" s="350"/>
      <c r="J139" s="350">
        <f t="shared" si="24"/>
        <v>0</v>
      </c>
      <c r="K139" s="350">
        <f t="shared" si="24"/>
        <v>0</v>
      </c>
      <c r="L139" s="350">
        <f>H139*$M$2</f>
        <v>14000</v>
      </c>
      <c r="M139" s="350">
        <f>F139*$M$3</f>
        <v>9000</v>
      </c>
      <c r="N139" s="350">
        <f t="shared" si="24"/>
        <v>0</v>
      </c>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row>
    <row r="140" spans="2:41" x14ac:dyDescent="0.2">
      <c r="B140" s="128"/>
      <c r="E140" s="128"/>
      <c r="G140" s="128"/>
      <c r="I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row>
    <row r="141" spans="2:41" x14ac:dyDescent="0.2">
      <c r="B141" s="128"/>
      <c r="D141" s="151"/>
      <c r="E141" s="128"/>
      <c r="G141" s="128"/>
      <c r="I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row>
    <row r="142" spans="2:41" ht="191.25" x14ac:dyDescent="0.2">
      <c r="B142" s="195" t="s">
        <v>164</v>
      </c>
      <c r="C142" s="152" t="s">
        <v>45</v>
      </c>
      <c r="D142" s="152" t="s">
        <v>46</v>
      </c>
      <c r="E142" s="197" t="s">
        <v>38</v>
      </c>
      <c r="F142" s="155" t="s">
        <v>39</v>
      </c>
      <c r="G142" s="199" t="s">
        <v>84</v>
      </c>
      <c r="H142" s="156" t="s">
        <v>86</v>
      </c>
      <c r="I142" s="201" t="s">
        <v>85</v>
      </c>
      <c r="J142" s="343" t="s">
        <v>40</v>
      </c>
      <c r="K142" s="128"/>
      <c r="L142" s="200" t="s">
        <v>42</v>
      </c>
      <c r="M142" s="198" t="s">
        <v>43</v>
      </c>
      <c r="N142" s="202" t="s">
        <v>87</v>
      </c>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row>
    <row r="143" spans="2:41" x14ac:dyDescent="0.2">
      <c r="B143" s="491"/>
      <c r="C143" s="114">
        <v>1</v>
      </c>
      <c r="D143" s="114"/>
      <c r="E143" s="182">
        <v>40544</v>
      </c>
      <c r="F143" s="114">
        <v>0</v>
      </c>
      <c r="G143" s="204">
        <f t="shared" ref="G143:G166" si="25">M143/20</f>
        <v>0</v>
      </c>
      <c r="H143" s="114">
        <v>8</v>
      </c>
      <c r="I143" s="205"/>
      <c r="J143" s="339">
        <v>0</v>
      </c>
      <c r="K143" s="128"/>
      <c r="L143" s="205">
        <f>H143*$M$2</f>
        <v>16000</v>
      </c>
      <c r="M143" s="205">
        <f>F143*$M$3</f>
        <v>0</v>
      </c>
      <c r="N143" s="207">
        <f t="shared" ref="N143:N166" si="26">J143*100</f>
        <v>0</v>
      </c>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row>
    <row r="144" spans="2:41" x14ac:dyDescent="0.2">
      <c r="B144" s="491"/>
      <c r="C144" s="114">
        <v>1</v>
      </c>
      <c r="D144" s="114"/>
      <c r="E144" s="182">
        <v>40558</v>
      </c>
      <c r="F144" s="114">
        <v>0</v>
      </c>
      <c r="G144" s="204">
        <f t="shared" si="25"/>
        <v>0</v>
      </c>
      <c r="H144" s="114">
        <v>8</v>
      </c>
      <c r="I144" s="204">
        <f t="shared" ref="I144:I166" si="27">(L144-L143)/15</f>
        <v>0</v>
      </c>
      <c r="J144" s="339">
        <v>0</v>
      </c>
      <c r="K144" s="128"/>
      <c r="L144" s="205">
        <f t="shared" ref="L144:L166" si="28">H144*$M$2</f>
        <v>16000</v>
      </c>
      <c r="M144" s="205">
        <f t="shared" ref="M144:M166" si="29">F144*$M$3</f>
        <v>0</v>
      </c>
      <c r="N144" s="207">
        <f t="shared" si="26"/>
        <v>0</v>
      </c>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row>
    <row r="145" spans="2:41" x14ac:dyDescent="0.2">
      <c r="B145" s="491"/>
      <c r="C145" s="114">
        <v>1</v>
      </c>
      <c r="D145" s="114"/>
      <c r="E145" s="182">
        <v>40575</v>
      </c>
      <c r="F145" s="114">
        <v>0</v>
      </c>
      <c r="G145" s="204">
        <f t="shared" si="25"/>
        <v>0</v>
      </c>
      <c r="H145" s="114">
        <v>8</v>
      </c>
      <c r="I145" s="204">
        <f t="shared" si="27"/>
        <v>0</v>
      </c>
      <c r="J145" s="339">
        <v>0</v>
      </c>
      <c r="K145" s="128"/>
      <c r="L145" s="205">
        <f t="shared" si="28"/>
        <v>16000</v>
      </c>
      <c r="M145" s="205">
        <f t="shared" si="29"/>
        <v>0</v>
      </c>
      <c r="N145" s="207">
        <f t="shared" si="26"/>
        <v>0</v>
      </c>
      <c r="O145" s="128"/>
      <c r="P145" s="128"/>
      <c r="Q145" s="128"/>
      <c r="R145" s="128"/>
      <c r="S145" s="20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row>
    <row r="146" spans="2:41" x14ac:dyDescent="0.2">
      <c r="B146" s="491"/>
      <c r="C146" s="114">
        <v>1</v>
      </c>
      <c r="D146" s="114"/>
      <c r="E146" s="182">
        <v>40589</v>
      </c>
      <c r="F146" s="114">
        <v>0</v>
      </c>
      <c r="G146" s="204">
        <f t="shared" si="25"/>
        <v>0</v>
      </c>
      <c r="H146" s="114">
        <v>8</v>
      </c>
      <c r="I146" s="204">
        <f t="shared" si="27"/>
        <v>0</v>
      </c>
      <c r="J146" s="339">
        <v>0</v>
      </c>
      <c r="K146" s="128"/>
      <c r="L146" s="205">
        <f t="shared" si="28"/>
        <v>16000</v>
      </c>
      <c r="M146" s="205">
        <f t="shared" si="29"/>
        <v>0</v>
      </c>
      <c r="N146" s="207">
        <f t="shared" si="26"/>
        <v>0</v>
      </c>
      <c r="O146" s="128"/>
      <c r="P146" s="128"/>
      <c r="Q146" s="128"/>
      <c r="R146" s="128"/>
      <c r="S146" s="20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row>
    <row r="147" spans="2:41" x14ac:dyDescent="0.2">
      <c r="B147" s="491"/>
      <c r="C147" s="114">
        <v>1</v>
      </c>
      <c r="D147" s="114"/>
      <c r="E147" s="182">
        <v>40603</v>
      </c>
      <c r="F147" s="114">
        <v>0</v>
      </c>
      <c r="G147" s="204">
        <f t="shared" si="25"/>
        <v>0</v>
      </c>
      <c r="H147" s="114">
        <v>7</v>
      </c>
      <c r="I147" s="204">
        <f t="shared" si="27"/>
        <v>-133.33333333333334</v>
      </c>
      <c r="J147" s="339">
        <v>0</v>
      </c>
      <c r="K147" s="128"/>
      <c r="L147" s="205">
        <f t="shared" si="28"/>
        <v>14000</v>
      </c>
      <c r="M147" s="205">
        <f t="shared" si="29"/>
        <v>0</v>
      </c>
      <c r="N147" s="207">
        <f t="shared" si="26"/>
        <v>0</v>
      </c>
      <c r="O147" s="128"/>
      <c r="P147" s="128"/>
      <c r="Q147" s="128"/>
      <c r="R147" s="128"/>
      <c r="S147" s="20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row>
    <row r="148" spans="2:41" x14ac:dyDescent="0.2">
      <c r="B148" s="491"/>
      <c r="C148" s="114">
        <v>1</v>
      </c>
      <c r="D148" s="114"/>
      <c r="E148" s="182">
        <v>40617</v>
      </c>
      <c r="F148" s="114">
        <v>0.5</v>
      </c>
      <c r="G148" s="204">
        <f t="shared" si="25"/>
        <v>112.5</v>
      </c>
      <c r="H148" s="114">
        <v>6</v>
      </c>
      <c r="I148" s="204">
        <f t="shared" si="27"/>
        <v>-133.33333333333334</v>
      </c>
      <c r="J148" s="339">
        <v>0.02</v>
      </c>
      <c r="K148" s="128"/>
      <c r="L148" s="205">
        <f t="shared" si="28"/>
        <v>12000</v>
      </c>
      <c r="M148" s="205">
        <f t="shared" si="29"/>
        <v>2250</v>
      </c>
      <c r="N148" s="207">
        <f t="shared" si="26"/>
        <v>2</v>
      </c>
      <c r="O148" s="128"/>
      <c r="P148" s="128"/>
      <c r="Q148" s="128"/>
      <c r="R148" s="128"/>
      <c r="S148" s="20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row>
    <row r="149" spans="2:41" x14ac:dyDescent="0.2">
      <c r="B149" s="491"/>
      <c r="C149" s="114"/>
      <c r="D149" s="114">
        <v>1</v>
      </c>
      <c r="E149" s="182">
        <v>40634</v>
      </c>
      <c r="F149" s="114">
        <v>1</v>
      </c>
      <c r="G149" s="204">
        <f t="shared" si="25"/>
        <v>225</v>
      </c>
      <c r="H149" s="114">
        <v>6</v>
      </c>
      <c r="I149" s="204">
        <f t="shared" si="27"/>
        <v>0</v>
      </c>
      <c r="J149" s="339">
        <v>0.03</v>
      </c>
      <c r="K149" s="128"/>
      <c r="L149" s="205">
        <f t="shared" si="28"/>
        <v>12000</v>
      </c>
      <c r="M149" s="205">
        <f t="shared" si="29"/>
        <v>4500</v>
      </c>
      <c r="N149" s="207">
        <f t="shared" si="26"/>
        <v>3</v>
      </c>
      <c r="O149" s="128"/>
      <c r="P149" s="128"/>
      <c r="Q149" s="128"/>
      <c r="R149" s="128"/>
      <c r="S149" s="20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row>
    <row r="150" spans="2:41" x14ac:dyDescent="0.2">
      <c r="B150" s="491"/>
      <c r="C150" s="114"/>
      <c r="D150" s="114">
        <v>1</v>
      </c>
      <c r="E150" s="182">
        <v>40648</v>
      </c>
      <c r="F150" s="114">
        <v>5</v>
      </c>
      <c r="G150" s="204">
        <f t="shared" si="25"/>
        <v>1125</v>
      </c>
      <c r="H150" s="114">
        <v>6</v>
      </c>
      <c r="I150" s="204">
        <f t="shared" si="27"/>
        <v>0</v>
      </c>
      <c r="J150" s="339">
        <v>0.06</v>
      </c>
      <c r="K150" s="128"/>
      <c r="L150" s="205">
        <f t="shared" si="28"/>
        <v>12000</v>
      </c>
      <c r="M150" s="205">
        <f t="shared" si="29"/>
        <v>22500</v>
      </c>
      <c r="N150" s="207">
        <f t="shared" si="26"/>
        <v>6</v>
      </c>
      <c r="O150" s="128"/>
      <c r="P150" s="128"/>
      <c r="Q150" s="128"/>
      <c r="R150" s="128"/>
      <c r="S150" s="20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row>
    <row r="151" spans="2:41" x14ac:dyDescent="0.2">
      <c r="B151" s="491"/>
      <c r="C151" s="114"/>
      <c r="D151" s="114">
        <v>1</v>
      </c>
      <c r="E151" s="182">
        <v>40664</v>
      </c>
      <c r="F151" s="114">
        <v>7</v>
      </c>
      <c r="G151" s="204">
        <f t="shared" si="25"/>
        <v>1575</v>
      </c>
      <c r="H151" s="114">
        <v>10</v>
      </c>
      <c r="I151" s="204">
        <f t="shared" si="27"/>
        <v>533.33333333333337</v>
      </c>
      <c r="J151" s="339">
        <v>0.1</v>
      </c>
      <c r="K151" s="128"/>
      <c r="L151" s="205">
        <f t="shared" si="28"/>
        <v>20000</v>
      </c>
      <c r="M151" s="205">
        <f t="shared" si="29"/>
        <v>31500</v>
      </c>
      <c r="N151" s="207">
        <f t="shared" si="26"/>
        <v>10</v>
      </c>
      <c r="O151" s="128"/>
      <c r="P151" s="128"/>
      <c r="Q151" s="128"/>
      <c r="R151" s="128"/>
      <c r="S151" s="20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row>
    <row r="152" spans="2:41" x14ac:dyDescent="0.2">
      <c r="B152" s="491"/>
      <c r="C152" s="114"/>
      <c r="D152" s="114">
        <v>1</v>
      </c>
      <c r="E152" s="182">
        <v>40678</v>
      </c>
      <c r="F152" s="114">
        <v>7</v>
      </c>
      <c r="G152" s="204">
        <f t="shared" si="25"/>
        <v>1575</v>
      </c>
      <c r="H152" s="114">
        <v>14</v>
      </c>
      <c r="I152" s="204">
        <f t="shared" si="27"/>
        <v>533.33333333333337</v>
      </c>
      <c r="J152" s="339">
        <v>0.1</v>
      </c>
      <c r="K152" s="128"/>
      <c r="L152" s="205">
        <f t="shared" si="28"/>
        <v>28000</v>
      </c>
      <c r="M152" s="205">
        <f t="shared" si="29"/>
        <v>31500</v>
      </c>
      <c r="N152" s="207">
        <f t="shared" si="26"/>
        <v>10</v>
      </c>
      <c r="O152" s="128"/>
      <c r="P152" s="128"/>
      <c r="Q152" s="128"/>
      <c r="R152" s="128"/>
      <c r="S152" s="20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row>
    <row r="153" spans="2:41" x14ac:dyDescent="0.2">
      <c r="B153" s="491"/>
      <c r="C153" s="114"/>
      <c r="D153" s="114">
        <v>1</v>
      </c>
      <c r="E153" s="182">
        <v>40695</v>
      </c>
      <c r="F153" s="114">
        <v>8</v>
      </c>
      <c r="G153" s="204">
        <f t="shared" si="25"/>
        <v>1800</v>
      </c>
      <c r="H153" s="114">
        <v>20</v>
      </c>
      <c r="I153" s="204">
        <f t="shared" si="27"/>
        <v>800</v>
      </c>
      <c r="J153" s="339">
        <v>0.05</v>
      </c>
      <c r="K153" s="128"/>
      <c r="L153" s="205">
        <f t="shared" si="28"/>
        <v>40000</v>
      </c>
      <c r="M153" s="205">
        <f t="shared" si="29"/>
        <v>36000</v>
      </c>
      <c r="N153" s="207">
        <f t="shared" si="26"/>
        <v>5</v>
      </c>
      <c r="O153" s="128"/>
      <c r="P153" s="128"/>
      <c r="Q153" s="128"/>
      <c r="R153" s="128"/>
      <c r="S153" s="20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row>
    <row r="154" spans="2:41" x14ac:dyDescent="0.2">
      <c r="B154" s="491"/>
      <c r="C154" s="114"/>
      <c r="D154" s="114">
        <v>1</v>
      </c>
      <c r="E154" s="182">
        <v>40709</v>
      </c>
      <c r="F154" s="114">
        <v>8</v>
      </c>
      <c r="G154" s="204">
        <f t="shared" si="25"/>
        <v>1800</v>
      </c>
      <c r="H154" s="114">
        <v>24</v>
      </c>
      <c r="I154" s="204">
        <f t="shared" si="27"/>
        <v>533.33333333333337</v>
      </c>
      <c r="J154" s="339">
        <v>0.05</v>
      </c>
      <c r="K154" s="128"/>
      <c r="L154" s="205">
        <f t="shared" si="28"/>
        <v>48000</v>
      </c>
      <c r="M154" s="205">
        <f t="shared" si="29"/>
        <v>36000</v>
      </c>
      <c r="N154" s="207">
        <f t="shared" si="26"/>
        <v>5</v>
      </c>
      <c r="O154" s="128"/>
      <c r="P154" s="128"/>
      <c r="Q154" s="128"/>
      <c r="R154" s="128"/>
      <c r="S154" s="20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row>
    <row r="155" spans="2:41" x14ac:dyDescent="0.2">
      <c r="B155" s="491"/>
      <c r="C155" s="114"/>
      <c r="D155" s="114">
        <v>1</v>
      </c>
      <c r="E155" s="182">
        <v>40725</v>
      </c>
      <c r="F155" s="114">
        <v>6</v>
      </c>
      <c r="G155" s="204">
        <f t="shared" si="25"/>
        <v>1350</v>
      </c>
      <c r="H155" s="114">
        <v>26</v>
      </c>
      <c r="I155" s="204">
        <f t="shared" si="27"/>
        <v>266.66666666666669</v>
      </c>
      <c r="J155" s="339">
        <v>0.05</v>
      </c>
      <c r="K155" s="128"/>
      <c r="L155" s="205">
        <f t="shared" si="28"/>
        <v>52000</v>
      </c>
      <c r="M155" s="205">
        <f t="shared" si="29"/>
        <v>27000</v>
      </c>
      <c r="N155" s="207">
        <f t="shared" si="26"/>
        <v>5</v>
      </c>
      <c r="O155" s="128"/>
      <c r="P155" s="128"/>
      <c r="Q155" s="128"/>
      <c r="R155" s="128"/>
      <c r="S155" s="20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row>
    <row r="156" spans="2:41" x14ac:dyDescent="0.2">
      <c r="B156" s="491"/>
      <c r="C156" s="114"/>
      <c r="D156" s="114">
        <v>1</v>
      </c>
      <c r="E156" s="182">
        <v>40739</v>
      </c>
      <c r="F156" s="114">
        <v>5</v>
      </c>
      <c r="G156" s="204">
        <f t="shared" si="25"/>
        <v>1125</v>
      </c>
      <c r="H156" s="114">
        <v>26</v>
      </c>
      <c r="I156" s="204">
        <f t="shared" si="27"/>
        <v>0</v>
      </c>
      <c r="J156" s="339">
        <v>0.05</v>
      </c>
      <c r="K156" s="128"/>
      <c r="L156" s="205">
        <f t="shared" si="28"/>
        <v>52000</v>
      </c>
      <c r="M156" s="205">
        <f t="shared" si="29"/>
        <v>22500</v>
      </c>
      <c r="N156" s="207">
        <f t="shared" si="26"/>
        <v>5</v>
      </c>
      <c r="O156" s="128"/>
      <c r="P156" s="128"/>
      <c r="Q156" s="128"/>
      <c r="R156" s="128"/>
      <c r="S156" s="20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row>
    <row r="157" spans="2:41" x14ac:dyDescent="0.2">
      <c r="B157" s="491"/>
      <c r="C157" s="114"/>
      <c r="D157" s="114">
        <v>1</v>
      </c>
      <c r="E157" s="182">
        <v>40756</v>
      </c>
      <c r="F157" s="114">
        <v>4.5</v>
      </c>
      <c r="G157" s="204">
        <f t="shared" si="25"/>
        <v>1012.5</v>
      </c>
      <c r="H157" s="114">
        <v>25</v>
      </c>
      <c r="I157" s="204">
        <f t="shared" si="27"/>
        <v>-133.33333333333334</v>
      </c>
      <c r="J157" s="339">
        <v>0.05</v>
      </c>
      <c r="K157" s="128"/>
      <c r="L157" s="205">
        <f t="shared" si="28"/>
        <v>50000</v>
      </c>
      <c r="M157" s="205">
        <f t="shared" si="29"/>
        <v>20250</v>
      </c>
      <c r="N157" s="207">
        <f t="shared" si="26"/>
        <v>5</v>
      </c>
      <c r="O157" s="128"/>
      <c r="P157" s="128"/>
      <c r="Q157" s="128"/>
      <c r="R157" s="128"/>
      <c r="S157" s="20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row>
    <row r="158" spans="2:41" x14ac:dyDescent="0.2">
      <c r="B158" s="491"/>
      <c r="C158" s="114"/>
      <c r="D158" s="114">
        <v>1</v>
      </c>
      <c r="E158" s="182">
        <v>40770</v>
      </c>
      <c r="F158" s="114">
        <v>4</v>
      </c>
      <c r="G158" s="204">
        <f t="shared" si="25"/>
        <v>900</v>
      </c>
      <c r="H158" s="114">
        <v>20</v>
      </c>
      <c r="I158" s="204">
        <f t="shared" si="27"/>
        <v>-666.66666666666663</v>
      </c>
      <c r="J158" s="339">
        <v>0.05</v>
      </c>
      <c r="K158" s="128"/>
      <c r="L158" s="205">
        <f t="shared" si="28"/>
        <v>40000</v>
      </c>
      <c r="M158" s="205">
        <f t="shared" si="29"/>
        <v>18000</v>
      </c>
      <c r="N158" s="207">
        <f t="shared" si="26"/>
        <v>5</v>
      </c>
      <c r="O158" s="128"/>
      <c r="P158" s="128"/>
      <c r="Q158" s="128"/>
      <c r="R158" s="128"/>
      <c r="S158" s="20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row>
    <row r="159" spans="2:41" x14ac:dyDescent="0.2">
      <c r="B159" s="491"/>
      <c r="C159" s="114"/>
      <c r="D159" s="114"/>
      <c r="E159" s="182">
        <v>40787</v>
      </c>
      <c r="F159" s="114">
        <v>3.5</v>
      </c>
      <c r="G159" s="204">
        <f t="shared" si="25"/>
        <v>787.5</v>
      </c>
      <c r="H159" s="114">
        <v>14</v>
      </c>
      <c r="I159" s="204">
        <f t="shared" si="27"/>
        <v>-800</v>
      </c>
      <c r="J159" s="339">
        <v>0.02</v>
      </c>
      <c r="K159" s="128"/>
      <c r="L159" s="205">
        <f t="shared" si="28"/>
        <v>28000</v>
      </c>
      <c r="M159" s="205">
        <f t="shared" si="29"/>
        <v>15750</v>
      </c>
      <c r="N159" s="207">
        <f t="shared" si="26"/>
        <v>2</v>
      </c>
      <c r="O159" s="128"/>
      <c r="P159" s="128"/>
      <c r="Q159" s="128"/>
      <c r="R159" s="128"/>
      <c r="S159" s="20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row>
    <row r="160" spans="2:41" x14ac:dyDescent="0.2">
      <c r="B160" s="491"/>
      <c r="C160" s="114"/>
      <c r="D160" s="114"/>
      <c r="E160" s="182">
        <v>40801</v>
      </c>
      <c r="F160" s="114">
        <v>3</v>
      </c>
      <c r="G160" s="204">
        <f t="shared" si="25"/>
        <v>675</v>
      </c>
      <c r="H160" s="114">
        <v>12</v>
      </c>
      <c r="I160" s="204">
        <f t="shared" si="27"/>
        <v>-266.66666666666669</v>
      </c>
      <c r="J160" s="339">
        <v>0.02</v>
      </c>
      <c r="K160" s="128"/>
      <c r="L160" s="205">
        <f t="shared" si="28"/>
        <v>24000</v>
      </c>
      <c r="M160" s="205">
        <f t="shared" si="29"/>
        <v>13500</v>
      </c>
      <c r="N160" s="207">
        <f t="shared" si="26"/>
        <v>2</v>
      </c>
      <c r="O160" s="128"/>
      <c r="P160" s="128"/>
      <c r="Q160" s="128"/>
      <c r="R160" s="128"/>
      <c r="S160" s="20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row>
    <row r="161" spans="2:41" x14ac:dyDescent="0.2">
      <c r="B161" s="491"/>
      <c r="C161" s="114">
        <v>1</v>
      </c>
      <c r="D161" s="114"/>
      <c r="E161" s="182">
        <v>40817</v>
      </c>
      <c r="F161" s="114">
        <v>0.5</v>
      </c>
      <c r="G161" s="204">
        <f t="shared" si="25"/>
        <v>112.5</v>
      </c>
      <c r="H161" s="114">
        <v>10</v>
      </c>
      <c r="I161" s="204">
        <f t="shared" si="27"/>
        <v>-266.66666666666669</v>
      </c>
      <c r="J161" s="339">
        <v>0</v>
      </c>
      <c r="K161" s="128"/>
      <c r="L161" s="205">
        <f t="shared" si="28"/>
        <v>20000</v>
      </c>
      <c r="M161" s="205">
        <f t="shared" si="29"/>
        <v>2250</v>
      </c>
      <c r="N161" s="207">
        <f t="shared" si="26"/>
        <v>0</v>
      </c>
      <c r="O161" s="128"/>
      <c r="P161" s="128"/>
      <c r="Q161" s="128"/>
      <c r="R161" s="128"/>
      <c r="S161" s="20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row>
    <row r="162" spans="2:41" x14ac:dyDescent="0.2">
      <c r="B162" s="491"/>
      <c r="C162" s="114">
        <v>1</v>
      </c>
      <c r="D162" s="114"/>
      <c r="E162" s="182">
        <v>40831</v>
      </c>
      <c r="F162" s="114">
        <v>0</v>
      </c>
      <c r="G162" s="204">
        <f t="shared" si="25"/>
        <v>0</v>
      </c>
      <c r="H162" s="114">
        <v>9</v>
      </c>
      <c r="I162" s="204">
        <f t="shared" si="27"/>
        <v>-133.33333333333334</v>
      </c>
      <c r="J162" s="339">
        <v>0</v>
      </c>
      <c r="K162" s="128"/>
      <c r="L162" s="205">
        <f t="shared" si="28"/>
        <v>18000</v>
      </c>
      <c r="M162" s="205">
        <f t="shared" si="29"/>
        <v>0</v>
      </c>
      <c r="N162" s="207">
        <f t="shared" si="26"/>
        <v>0</v>
      </c>
      <c r="O162" s="128"/>
      <c r="P162" s="128"/>
      <c r="Q162" s="128"/>
      <c r="R162" s="128"/>
      <c r="S162" s="20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row>
    <row r="163" spans="2:41" x14ac:dyDescent="0.2">
      <c r="B163" s="491"/>
      <c r="C163" s="114">
        <v>1</v>
      </c>
      <c r="D163" s="114"/>
      <c r="E163" s="182">
        <v>40848</v>
      </c>
      <c r="F163" s="114">
        <v>0</v>
      </c>
      <c r="G163" s="204">
        <f t="shared" si="25"/>
        <v>0</v>
      </c>
      <c r="H163" s="114">
        <v>8</v>
      </c>
      <c r="I163" s="204">
        <f t="shared" si="27"/>
        <v>-133.33333333333334</v>
      </c>
      <c r="J163" s="339">
        <v>0</v>
      </c>
      <c r="K163" s="128"/>
      <c r="L163" s="205">
        <f t="shared" si="28"/>
        <v>16000</v>
      </c>
      <c r="M163" s="205">
        <f t="shared" si="29"/>
        <v>0</v>
      </c>
      <c r="N163" s="207">
        <f t="shared" si="26"/>
        <v>0</v>
      </c>
      <c r="O163" s="128"/>
      <c r="P163" s="128"/>
      <c r="Q163" s="128"/>
      <c r="R163" s="128"/>
      <c r="S163" s="20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row>
    <row r="164" spans="2:41" x14ac:dyDescent="0.2">
      <c r="B164" s="491"/>
      <c r="C164" s="114">
        <v>1</v>
      </c>
      <c r="D164" s="114"/>
      <c r="E164" s="182">
        <v>40862</v>
      </c>
      <c r="F164" s="114">
        <v>0</v>
      </c>
      <c r="G164" s="204">
        <f t="shared" si="25"/>
        <v>0</v>
      </c>
      <c r="H164" s="114">
        <v>8</v>
      </c>
      <c r="I164" s="204">
        <f t="shared" si="27"/>
        <v>0</v>
      </c>
      <c r="J164" s="339">
        <v>0</v>
      </c>
      <c r="K164" s="128"/>
      <c r="L164" s="205">
        <f t="shared" si="28"/>
        <v>16000</v>
      </c>
      <c r="M164" s="205">
        <f t="shared" si="29"/>
        <v>0</v>
      </c>
      <c r="N164" s="207">
        <f t="shared" si="26"/>
        <v>0</v>
      </c>
      <c r="O164" s="128"/>
      <c r="P164" s="128"/>
      <c r="Q164" s="128"/>
      <c r="R164" s="128"/>
      <c r="S164" s="20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row>
    <row r="165" spans="2:41" x14ac:dyDescent="0.2">
      <c r="B165" s="491"/>
      <c r="C165" s="114">
        <v>1</v>
      </c>
      <c r="D165" s="114"/>
      <c r="E165" s="182">
        <v>40878</v>
      </c>
      <c r="F165" s="114">
        <v>0</v>
      </c>
      <c r="G165" s="204">
        <f t="shared" si="25"/>
        <v>0</v>
      </c>
      <c r="H165" s="114">
        <v>8</v>
      </c>
      <c r="I165" s="204">
        <f t="shared" si="27"/>
        <v>0</v>
      </c>
      <c r="J165" s="339">
        <v>0</v>
      </c>
      <c r="K165" s="128"/>
      <c r="L165" s="205">
        <f t="shared" si="28"/>
        <v>16000</v>
      </c>
      <c r="M165" s="205">
        <f t="shared" si="29"/>
        <v>0</v>
      </c>
      <c r="N165" s="207">
        <f t="shared" si="26"/>
        <v>0</v>
      </c>
      <c r="O165" s="128"/>
      <c r="P165" s="128"/>
      <c r="Q165" s="128"/>
      <c r="R165" s="128"/>
      <c r="S165" s="20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row>
    <row r="166" spans="2:41" x14ac:dyDescent="0.2">
      <c r="B166" s="491"/>
      <c r="C166" s="114">
        <v>1</v>
      </c>
      <c r="D166" s="114"/>
      <c r="E166" s="182">
        <v>40892</v>
      </c>
      <c r="F166" s="114">
        <v>0</v>
      </c>
      <c r="G166" s="209">
        <f t="shared" si="25"/>
        <v>0</v>
      </c>
      <c r="H166" s="114">
        <v>8</v>
      </c>
      <c r="I166" s="204">
        <f t="shared" si="27"/>
        <v>0</v>
      </c>
      <c r="J166" s="339">
        <v>0</v>
      </c>
      <c r="K166" s="128"/>
      <c r="L166" s="205">
        <f t="shared" si="28"/>
        <v>16000</v>
      </c>
      <c r="M166" s="205">
        <f t="shared" si="29"/>
        <v>0</v>
      </c>
      <c r="N166" s="207">
        <f t="shared" si="26"/>
        <v>0</v>
      </c>
      <c r="O166" s="128"/>
      <c r="P166" s="128"/>
      <c r="Q166" s="128"/>
      <c r="R166" s="128"/>
      <c r="S166" s="20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row>
    <row r="167" spans="2:41" x14ac:dyDescent="0.2">
      <c r="B167" s="128"/>
      <c r="C167" s="153"/>
      <c r="D167" s="151"/>
      <c r="E167" s="321">
        <v>43100</v>
      </c>
      <c r="F167" s="306">
        <f>G143</f>
        <v>0</v>
      </c>
      <c r="G167" s="306">
        <f>H143</f>
        <v>8</v>
      </c>
      <c r="H167" s="306">
        <f>I143</f>
        <v>0</v>
      </c>
      <c r="I167" s="306">
        <f>J143</f>
        <v>0</v>
      </c>
      <c r="J167" s="341">
        <f>K143</f>
        <v>0</v>
      </c>
      <c r="K167" s="306"/>
      <c r="L167" s="306">
        <f>M143</f>
        <v>0</v>
      </c>
      <c r="M167" s="306">
        <f>N143</f>
        <v>0</v>
      </c>
      <c r="N167" s="322">
        <f>O143</f>
        <v>0</v>
      </c>
      <c r="O167" s="128"/>
      <c r="P167" s="128"/>
      <c r="Q167" s="128"/>
      <c r="R167" s="128"/>
      <c r="S167" s="20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row>
    <row r="168" spans="2:41" x14ac:dyDescent="0.2">
      <c r="B168" s="128"/>
      <c r="E168" s="128"/>
      <c r="G168" s="128"/>
      <c r="I168" s="128"/>
      <c r="K168" s="128"/>
      <c r="L168" s="128"/>
      <c r="M168" s="128"/>
      <c r="N168" s="128"/>
      <c r="O168" s="128"/>
      <c r="P168" s="128"/>
      <c r="Q168" s="128"/>
      <c r="R168" s="128"/>
      <c r="S168" s="20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row>
    <row r="169" spans="2:41" x14ac:dyDescent="0.2">
      <c r="B169" s="128"/>
      <c r="D169" s="151"/>
      <c r="E169" s="128"/>
      <c r="G169" s="128"/>
      <c r="I169" s="128"/>
      <c r="K169" s="128"/>
      <c r="L169" s="128"/>
      <c r="M169" s="128"/>
      <c r="N169" s="128"/>
      <c r="O169" s="128"/>
      <c r="P169" s="128"/>
      <c r="Q169" s="128"/>
      <c r="R169" s="128"/>
      <c r="S169" s="20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row>
    <row r="170" spans="2:41" ht="191.25" customHeight="1" x14ac:dyDescent="0.35">
      <c r="B170" s="211" t="s">
        <v>166</v>
      </c>
      <c r="C170" s="152" t="s">
        <v>45</v>
      </c>
      <c r="D170" s="152" t="s">
        <v>46</v>
      </c>
      <c r="E170" s="197" t="s">
        <v>38</v>
      </c>
      <c r="F170" s="155" t="s">
        <v>39</v>
      </c>
      <c r="G170" s="199" t="s">
        <v>84</v>
      </c>
      <c r="H170" s="156" t="s">
        <v>86</v>
      </c>
      <c r="I170" s="201" t="s">
        <v>85</v>
      </c>
      <c r="J170" s="343" t="s">
        <v>40</v>
      </c>
      <c r="K170" s="128"/>
      <c r="L170" s="200" t="s">
        <v>42</v>
      </c>
      <c r="M170" s="198" t="s">
        <v>43</v>
      </c>
      <c r="N170" s="202" t="s">
        <v>87</v>
      </c>
      <c r="O170" s="212"/>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row>
    <row r="171" spans="2:41" x14ac:dyDescent="0.2">
      <c r="B171" s="491"/>
      <c r="C171" s="114">
        <v>1</v>
      </c>
      <c r="D171" s="114"/>
      <c r="E171" s="182">
        <v>40544</v>
      </c>
      <c r="F171" s="154">
        <v>0.5</v>
      </c>
      <c r="G171" s="204">
        <f>M171/20</f>
        <v>112.5</v>
      </c>
      <c r="H171" s="154">
        <v>6</v>
      </c>
      <c r="I171" s="204"/>
      <c r="J171" s="161">
        <v>0</v>
      </c>
      <c r="K171" s="128"/>
      <c r="L171" s="205">
        <f>H171*$M$2</f>
        <v>12000</v>
      </c>
      <c r="M171" s="205">
        <f>F171*$M$3</f>
        <v>2250</v>
      </c>
      <c r="N171" s="128">
        <f t="shared" ref="N171:N194" si="30">J171*100</f>
        <v>0</v>
      </c>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row>
    <row r="172" spans="2:41" x14ac:dyDescent="0.2">
      <c r="B172" s="491"/>
      <c r="C172" s="114">
        <v>1</v>
      </c>
      <c r="D172" s="114">
        <v>1</v>
      </c>
      <c r="E172" s="182">
        <v>40558</v>
      </c>
      <c r="F172" s="154">
        <v>2.5</v>
      </c>
      <c r="G172" s="204">
        <f t="shared" ref="G172:G195" si="31">M172/20</f>
        <v>562.5</v>
      </c>
      <c r="H172" s="154">
        <v>5.5</v>
      </c>
      <c r="I172" s="204">
        <f t="shared" ref="I172:I194" si="32">(L172-L171)/15</f>
        <v>-66.666666666666671</v>
      </c>
      <c r="J172" s="161">
        <v>0</v>
      </c>
      <c r="K172" s="128"/>
      <c r="L172" s="205">
        <f t="shared" ref="L172:L194" si="33">H172*$M$2</f>
        <v>11000</v>
      </c>
      <c r="M172" s="205">
        <f t="shared" ref="M172:M194" si="34">F172*$M$3</f>
        <v>11250</v>
      </c>
      <c r="N172" s="128">
        <f t="shared" si="30"/>
        <v>0</v>
      </c>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row>
    <row r="173" spans="2:41" x14ac:dyDescent="0.2">
      <c r="B173" s="491"/>
      <c r="C173" s="114">
        <v>1</v>
      </c>
      <c r="D173" s="114">
        <v>1</v>
      </c>
      <c r="E173" s="182">
        <v>40575</v>
      </c>
      <c r="F173" s="154">
        <v>4.5</v>
      </c>
      <c r="G173" s="204">
        <f t="shared" si="31"/>
        <v>1012.5</v>
      </c>
      <c r="H173" s="154">
        <v>6</v>
      </c>
      <c r="I173" s="204">
        <f t="shared" si="32"/>
        <v>66.666666666666671</v>
      </c>
      <c r="J173" s="161">
        <v>0.02</v>
      </c>
      <c r="K173" s="128"/>
      <c r="L173" s="205">
        <f t="shared" si="33"/>
        <v>12000</v>
      </c>
      <c r="M173" s="205">
        <f t="shared" si="34"/>
        <v>20250</v>
      </c>
      <c r="N173" s="128">
        <f t="shared" si="30"/>
        <v>2</v>
      </c>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row>
    <row r="174" spans="2:41" x14ac:dyDescent="0.2">
      <c r="B174" s="491"/>
      <c r="C174" s="114">
        <v>1</v>
      </c>
      <c r="D174" s="114">
        <v>1</v>
      </c>
      <c r="E174" s="182">
        <v>40589</v>
      </c>
      <c r="F174" s="154">
        <v>5.5</v>
      </c>
      <c r="G174" s="204">
        <f t="shared" si="31"/>
        <v>1237.5</v>
      </c>
      <c r="H174" s="154">
        <v>8</v>
      </c>
      <c r="I174" s="204">
        <f t="shared" si="32"/>
        <v>266.66666666666669</v>
      </c>
      <c r="J174" s="161">
        <v>0.02</v>
      </c>
      <c r="K174" s="128"/>
      <c r="L174" s="205">
        <f t="shared" si="33"/>
        <v>16000</v>
      </c>
      <c r="M174" s="205">
        <f t="shared" si="34"/>
        <v>24750</v>
      </c>
      <c r="N174" s="128">
        <f t="shared" si="30"/>
        <v>2</v>
      </c>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row>
    <row r="175" spans="2:41" x14ac:dyDescent="0.2">
      <c r="B175" s="491"/>
      <c r="C175" s="114">
        <v>1</v>
      </c>
      <c r="D175" s="114">
        <v>1</v>
      </c>
      <c r="E175" s="182">
        <v>40603</v>
      </c>
      <c r="F175" s="154">
        <v>7</v>
      </c>
      <c r="G175" s="204">
        <f t="shared" si="31"/>
        <v>1575</v>
      </c>
      <c r="H175" s="154">
        <v>11</v>
      </c>
      <c r="I175" s="204">
        <f t="shared" si="32"/>
        <v>400</v>
      </c>
      <c r="J175" s="161">
        <v>0.03</v>
      </c>
      <c r="K175" s="128"/>
      <c r="L175" s="205">
        <f t="shared" si="33"/>
        <v>22000</v>
      </c>
      <c r="M175" s="205">
        <f t="shared" si="34"/>
        <v>31500</v>
      </c>
      <c r="N175" s="128">
        <f t="shared" si="30"/>
        <v>3</v>
      </c>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row>
    <row r="176" spans="2:41" x14ac:dyDescent="0.2">
      <c r="B176" s="491"/>
      <c r="C176" s="114"/>
      <c r="D176" s="114">
        <v>1</v>
      </c>
      <c r="E176" s="182">
        <v>40617</v>
      </c>
      <c r="F176" s="154">
        <v>8</v>
      </c>
      <c r="G176" s="204">
        <f t="shared" si="31"/>
        <v>1800</v>
      </c>
      <c r="H176" s="154">
        <v>16</v>
      </c>
      <c r="I176" s="204">
        <f t="shared" si="32"/>
        <v>666.66666666666663</v>
      </c>
      <c r="J176" s="161">
        <v>0.08</v>
      </c>
      <c r="K176" s="128"/>
      <c r="L176" s="205">
        <f t="shared" si="33"/>
        <v>32000</v>
      </c>
      <c r="M176" s="205">
        <f t="shared" si="34"/>
        <v>36000</v>
      </c>
      <c r="N176" s="128">
        <f t="shared" si="30"/>
        <v>8</v>
      </c>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row>
    <row r="177" spans="2:41" x14ac:dyDescent="0.2">
      <c r="B177" s="491"/>
      <c r="C177" s="114"/>
      <c r="D177" s="114">
        <v>1</v>
      </c>
      <c r="E177" s="182">
        <v>40634</v>
      </c>
      <c r="F177" s="154">
        <v>10</v>
      </c>
      <c r="G177" s="204">
        <f t="shared" si="31"/>
        <v>2250</v>
      </c>
      <c r="H177" s="154">
        <v>20</v>
      </c>
      <c r="I177" s="204">
        <f t="shared" si="32"/>
        <v>533.33333333333337</v>
      </c>
      <c r="J177" s="161">
        <v>0.1</v>
      </c>
      <c r="K177" s="128"/>
      <c r="L177" s="205">
        <f t="shared" si="33"/>
        <v>40000</v>
      </c>
      <c r="M177" s="205">
        <f t="shared" si="34"/>
        <v>45000</v>
      </c>
      <c r="N177" s="128">
        <f t="shared" si="30"/>
        <v>10</v>
      </c>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row>
    <row r="178" spans="2:41" x14ac:dyDescent="0.2">
      <c r="B178" s="491"/>
      <c r="C178" s="114"/>
      <c r="D178" s="114">
        <v>1</v>
      </c>
      <c r="E178" s="182">
        <v>40648</v>
      </c>
      <c r="F178" s="154">
        <v>9</v>
      </c>
      <c r="G178" s="204">
        <f t="shared" si="31"/>
        <v>2025</v>
      </c>
      <c r="H178" s="154">
        <v>15</v>
      </c>
      <c r="I178" s="204">
        <f t="shared" si="32"/>
        <v>-666.66666666666663</v>
      </c>
      <c r="J178" s="161">
        <v>0.15</v>
      </c>
      <c r="K178" s="128"/>
      <c r="L178" s="205">
        <f t="shared" si="33"/>
        <v>30000</v>
      </c>
      <c r="M178" s="205">
        <f t="shared" si="34"/>
        <v>40500</v>
      </c>
      <c r="N178" s="128">
        <f t="shared" si="30"/>
        <v>15</v>
      </c>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row>
    <row r="179" spans="2:41" x14ac:dyDescent="0.2">
      <c r="B179" s="491"/>
      <c r="C179" s="114"/>
      <c r="D179" s="114">
        <v>1</v>
      </c>
      <c r="E179" s="182">
        <v>40664</v>
      </c>
      <c r="F179" s="154">
        <v>9</v>
      </c>
      <c r="G179" s="204">
        <f t="shared" si="31"/>
        <v>2025</v>
      </c>
      <c r="H179" s="154">
        <v>15</v>
      </c>
      <c r="I179" s="204">
        <f t="shared" si="32"/>
        <v>0</v>
      </c>
      <c r="J179" s="161">
        <v>0.1</v>
      </c>
      <c r="K179" s="128"/>
      <c r="L179" s="205">
        <f t="shared" si="33"/>
        <v>30000</v>
      </c>
      <c r="M179" s="205">
        <f t="shared" si="34"/>
        <v>40500</v>
      </c>
      <c r="N179" s="128">
        <f t="shared" si="30"/>
        <v>10</v>
      </c>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row>
    <row r="180" spans="2:41" x14ac:dyDescent="0.2">
      <c r="B180" s="491"/>
      <c r="C180" s="114"/>
      <c r="D180" s="114">
        <v>1</v>
      </c>
      <c r="E180" s="182">
        <v>40678</v>
      </c>
      <c r="F180" s="154">
        <v>10</v>
      </c>
      <c r="G180" s="204">
        <f t="shared" si="31"/>
        <v>2250</v>
      </c>
      <c r="H180" s="154">
        <v>20</v>
      </c>
      <c r="I180" s="204">
        <f t="shared" si="32"/>
        <v>666.66666666666663</v>
      </c>
      <c r="J180" s="161">
        <v>0.1</v>
      </c>
      <c r="K180" s="128"/>
      <c r="L180" s="205">
        <f t="shared" si="33"/>
        <v>40000</v>
      </c>
      <c r="M180" s="205">
        <f t="shared" si="34"/>
        <v>45000</v>
      </c>
      <c r="N180" s="128">
        <f t="shared" si="30"/>
        <v>10</v>
      </c>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row>
    <row r="181" spans="2:41" x14ac:dyDescent="0.2">
      <c r="B181" s="491"/>
      <c r="C181" s="114"/>
      <c r="D181" s="114">
        <v>1</v>
      </c>
      <c r="E181" s="182">
        <v>40695</v>
      </c>
      <c r="F181" s="154">
        <v>10</v>
      </c>
      <c r="G181" s="204">
        <f t="shared" si="31"/>
        <v>2250</v>
      </c>
      <c r="H181" s="154">
        <v>23</v>
      </c>
      <c r="I181" s="204">
        <f t="shared" si="32"/>
        <v>400</v>
      </c>
      <c r="J181" s="161">
        <v>0.05</v>
      </c>
      <c r="K181" s="128"/>
      <c r="L181" s="205">
        <f t="shared" si="33"/>
        <v>46000</v>
      </c>
      <c r="M181" s="205">
        <f t="shared" si="34"/>
        <v>45000</v>
      </c>
      <c r="N181" s="128">
        <f t="shared" si="30"/>
        <v>5</v>
      </c>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row>
    <row r="182" spans="2:41" x14ac:dyDescent="0.2">
      <c r="B182" s="491"/>
      <c r="C182" s="114"/>
      <c r="D182" s="114">
        <v>1</v>
      </c>
      <c r="E182" s="182">
        <v>40709</v>
      </c>
      <c r="F182" s="154">
        <v>9</v>
      </c>
      <c r="G182" s="204">
        <f t="shared" si="31"/>
        <v>2025</v>
      </c>
      <c r="H182" s="154">
        <v>25</v>
      </c>
      <c r="I182" s="204">
        <f t="shared" si="32"/>
        <v>266.66666666666669</v>
      </c>
      <c r="J182" s="161">
        <v>0.05</v>
      </c>
      <c r="K182" s="128"/>
      <c r="L182" s="205">
        <f t="shared" si="33"/>
        <v>50000</v>
      </c>
      <c r="M182" s="205">
        <f t="shared" si="34"/>
        <v>40500</v>
      </c>
      <c r="N182" s="128">
        <f t="shared" si="30"/>
        <v>5</v>
      </c>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row>
    <row r="183" spans="2:41" x14ac:dyDescent="0.2">
      <c r="B183" s="491"/>
      <c r="C183" s="114"/>
      <c r="D183" s="114"/>
      <c r="E183" s="182">
        <v>40725</v>
      </c>
      <c r="F183" s="154">
        <v>6</v>
      </c>
      <c r="G183" s="204">
        <f t="shared" si="31"/>
        <v>1350</v>
      </c>
      <c r="H183" s="154">
        <v>24</v>
      </c>
      <c r="I183" s="204">
        <f t="shared" si="32"/>
        <v>-133.33333333333334</v>
      </c>
      <c r="J183" s="161">
        <v>0.05</v>
      </c>
      <c r="K183" s="128"/>
      <c r="L183" s="205">
        <f t="shared" si="33"/>
        <v>48000</v>
      </c>
      <c r="M183" s="205">
        <f t="shared" si="34"/>
        <v>27000</v>
      </c>
      <c r="N183" s="128">
        <f t="shared" si="30"/>
        <v>5</v>
      </c>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row>
    <row r="184" spans="2:41" x14ac:dyDescent="0.2">
      <c r="B184" s="491"/>
      <c r="C184" s="114"/>
      <c r="D184" s="114"/>
      <c r="E184" s="182">
        <v>40739</v>
      </c>
      <c r="F184" s="154">
        <v>5</v>
      </c>
      <c r="G184" s="204">
        <f t="shared" si="31"/>
        <v>1125</v>
      </c>
      <c r="H184" s="154">
        <v>23</v>
      </c>
      <c r="I184" s="204">
        <f t="shared" si="32"/>
        <v>-133.33333333333334</v>
      </c>
      <c r="J184" s="161">
        <v>0.02</v>
      </c>
      <c r="K184" s="128"/>
      <c r="L184" s="205">
        <f t="shared" si="33"/>
        <v>46000</v>
      </c>
      <c r="M184" s="205">
        <f t="shared" si="34"/>
        <v>22500</v>
      </c>
      <c r="N184" s="128">
        <f t="shared" si="30"/>
        <v>2</v>
      </c>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row>
    <row r="185" spans="2:41" x14ac:dyDescent="0.2">
      <c r="B185" s="491"/>
      <c r="C185" s="114"/>
      <c r="D185" s="114"/>
      <c r="E185" s="182">
        <v>40756</v>
      </c>
      <c r="F185" s="154">
        <v>4.5</v>
      </c>
      <c r="G185" s="204">
        <f t="shared" si="31"/>
        <v>1012.5</v>
      </c>
      <c r="H185" s="154">
        <v>20</v>
      </c>
      <c r="I185" s="204">
        <f t="shared" si="32"/>
        <v>-400</v>
      </c>
      <c r="J185" s="161">
        <v>0.02</v>
      </c>
      <c r="K185" s="128"/>
      <c r="L185" s="205">
        <f t="shared" si="33"/>
        <v>40000</v>
      </c>
      <c r="M185" s="205">
        <f t="shared" si="34"/>
        <v>20250</v>
      </c>
      <c r="N185" s="128">
        <f t="shared" si="30"/>
        <v>2</v>
      </c>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row>
    <row r="186" spans="2:41" x14ac:dyDescent="0.2">
      <c r="B186" s="491"/>
      <c r="C186" s="114"/>
      <c r="D186" s="114"/>
      <c r="E186" s="182">
        <v>40770</v>
      </c>
      <c r="F186" s="154">
        <v>4</v>
      </c>
      <c r="G186" s="204">
        <f t="shared" si="31"/>
        <v>900</v>
      </c>
      <c r="H186" s="154">
        <v>17</v>
      </c>
      <c r="I186" s="204">
        <f t="shared" si="32"/>
        <v>-400</v>
      </c>
      <c r="J186" s="161">
        <v>0.02</v>
      </c>
      <c r="K186" s="128"/>
      <c r="L186" s="205">
        <f t="shared" si="33"/>
        <v>34000</v>
      </c>
      <c r="M186" s="205">
        <f t="shared" si="34"/>
        <v>18000</v>
      </c>
      <c r="N186" s="128">
        <f t="shared" si="30"/>
        <v>2</v>
      </c>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row>
    <row r="187" spans="2:41" x14ac:dyDescent="0.2">
      <c r="B187" s="491"/>
      <c r="C187" s="114"/>
      <c r="D187" s="114"/>
      <c r="E187" s="182">
        <v>40787</v>
      </c>
      <c r="F187" s="154">
        <v>3.5</v>
      </c>
      <c r="G187" s="204">
        <f t="shared" si="31"/>
        <v>787.5</v>
      </c>
      <c r="H187" s="154">
        <v>14</v>
      </c>
      <c r="I187" s="204">
        <f t="shared" si="32"/>
        <v>-400</v>
      </c>
      <c r="J187" s="161">
        <v>0.01</v>
      </c>
      <c r="K187" s="128"/>
      <c r="L187" s="205">
        <f t="shared" si="33"/>
        <v>28000</v>
      </c>
      <c r="M187" s="205">
        <f t="shared" si="34"/>
        <v>15750</v>
      </c>
      <c r="N187" s="128">
        <f t="shared" si="30"/>
        <v>1</v>
      </c>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row>
    <row r="188" spans="2:41" x14ac:dyDescent="0.2">
      <c r="B188" s="491"/>
      <c r="C188" s="114"/>
      <c r="D188" s="114"/>
      <c r="E188" s="182">
        <v>40801</v>
      </c>
      <c r="F188" s="154">
        <v>4</v>
      </c>
      <c r="G188" s="204">
        <f t="shared" si="31"/>
        <v>900</v>
      </c>
      <c r="H188" s="154">
        <v>12</v>
      </c>
      <c r="I188" s="204">
        <f t="shared" si="32"/>
        <v>-266.66666666666669</v>
      </c>
      <c r="J188" s="161">
        <v>0.01</v>
      </c>
      <c r="K188" s="128"/>
      <c r="L188" s="205">
        <f t="shared" si="33"/>
        <v>24000</v>
      </c>
      <c r="M188" s="205">
        <f t="shared" si="34"/>
        <v>18000</v>
      </c>
      <c r="N188" s="128">
        <f t="shared" si="30"/>
        <v>1</v>
      </c>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row>
    <row r="189" spans="2:41" x14ac:dyDescent="0.2">
      <c r="B189" s="491"/>
      <c r="C189" s="114"/>
      <c r="D189" s="114">
        <v>1</v>
      </c>
      <c r="E189" s="182">
        <v>40817</v>
      </c>
      <c r="F189" s="154">
        <v>5</v>
      </c>
      <c r="G189" s="204">
        <f t="shared" si="31"/>
        <v>1125</v>
      </c>
      <c r="H189" s="154">
        <v>10</v>
      </c>
      <c r="I189" s="204">
        <f t="shared" si="32"/>
        <v>-266.66666666666669</v>
      </c>
      <c r="J189" s="161">
        <v>0</v>
      </c>
      <c r="K189" s="128"/>
      <c r="L189" s="205">
        <f t="shared" si="33"/>
        <v>20000</v>
      </c>
      <c r="M189" s="205">
        <f t="shared" si="34"/>
        <v>22500</v>
      </c>
      <c r="N189" s="128">
        <f t="shared" si="30"/>
        <v>0</v>
      </c>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row>
    <row r="190" spans="2:41" x14ac:dyDescent="0.2">
      <c r="B190" s="491"/>
      <c r="C190" s="114"/>
      <c r="D190" s="114">
        <v>1</v>
      </c>
      <c r="E190" s="182">
        <v>40831</v>
      </c>
      <c r="F190" s="154">
        <v>4</v>
      </c>
      <c r="G190" s="204">
        <f t="shared" si="31"/>
        <v>900</v>
      </c>
      <c r="H190" s="154">
        <v>9</v>
      </c>
      <c r="I190" s="204">
        <f t="shared" si="32"/>
        <v>-133.33333333333334</v>
      </c>
      <c r="J190" s="161">
        <v>0</v>
      </c>
      <c r="K190" s="128"/>
      <c r="L190" s="205">
        <f t="shared" si="33"/>
        <v>18000</v>
      </c>
      <c r="M190" s="205">
        <f t="shared" si="34"/>
        <v>18000</v>
      </c>
      <c r="N190" s="128">
        <f t="shared" si="30"/>
        <v>0</v>
      </c>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row>
    <row r="191" spans="2:41" x14ac:dyDescent="0.2">
      <c r="B191" s="491"/>
      <c r="C191" s="114">
        <v>1</v>
      </c>
      <c r="D191" s="114"/>
      <c r="E191" s="182">
        <v>40848</v>
      </c>
      <c r="F191" s="154">
        <v>1</v>
      </c>
      <c r="G191" s="204">
        <f t="shared" si="31"/>
        <v>225</v>
      </c>
      <c r="H191" s="154">
        <v>8</v>
      </c>
      <c r="I191" s="204">
        <f t="shared" si="32"/>
        <v>-133.33333333333334</v>
      </c>
      <c r="J191" s="161">
        <v>0</v>
      </c>
      <c r="K191" s="128"/>
      <c r="L191" s="205">
        <f t="shared" si="33"/>
        <v>16000</v>
      </c>
      <c r="M191" s="205">
        <f t="shared" si="34"/>
        <v>4500</v>
      </c>
      <c r="N191" s="128">
        <f t="shared" si="30"/>
        <v>0</v>
      </c>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row>
    <row r="192" spans="2:41" x14ac:dyDescent="0.2">
      <c r="B192" s="491"/>
      <c r="C192" s="114">
        <v>1</v>
      </c>
      <c r="D192" s="114"/>
      <c r="E192" s="182">
        <v>40862</v>
      </c>
      <c r="F192" s="154">
        <v>0</v>
      </c>
      <c r="G192" s="204">
        <f t="shared" si="31"/>
        <v>0</v>
      </c>
      <c r="H192" s="154">
        <v>7</v>
      </c>
      <c r="I192" s="204">
        <f t="shared" si="32"/>
        <v>-133.33333333333334</v>
      </c>
      <c r="J192" s="161">
        <v>0</v>
      </c>
      <c r="K192" s="128"/>
      <c r="L192" s="205">
        <f t="shared" si="33"/>
        <v>14000</v>
      </c>
      <c r="M192" s="205">
        <f t="shared" si="34"/>
        <v>0</v>
      </c>
      <c r="N192" s="128">
        <f t="shared" si="30"/>
        <v>0</v>
      </c>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row>
    <row r="193" spans="2:41" x14ac:dyDescent="0.2">
      <c r="B193" s="491"/>
      <c r="C193" s="114">
        <v>1</v>
      </c>
      <c r="D193" s="114"/>
      <c r="E193" s="182">
        <v>40878</v>
      </c>
      <c r="F193" s="154">
        <v>0</v>
      </c>
      <c r="G193" s="204">
        <f t="shared" si="31"/>
        <v>0</v>
      </c>
      <c r="H193" s="154">
        <v>6</v>
      </c>
      <c r="I193" s="204">
        <f t="shared" si="32"/>
        <v>-133.33333333333334</v>
      </c>
      <c r="J193" s="161">
        <v>0</v>
      </c>
      <c r="K193" s="128"/>
      <c r="L193" s="205">
        <f t="shared" si="33"/>
        <v>12000</v>
      </c>
      <c r="M193" s="205">
        <f t="shared" si="34"/>
        <v>0</v>
      </c>
      <c r="N193" s="128">
        <f t="shared" si="30"/>
        <v>0</v>
      </c>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row>
    <row r="194" spans="2:41" x14ac:dyDescent="0.2">
      <c r="B194" s="491"/>
      <c r="C194" s="114">
        <v>1</v>
      </c>
      <c r="D194" s="114"/>
      <c r="E194" s="182">
        <v>40892</v>
      </c>
      <c r="F194" s="154">
        <v>0</v>
      </c>
      <c r="G194" s="204">
        <f t="shared" si="31"/>
        <v>0</v>
      </c>
      <c r="H194" s="154">
        <v>6</v>
      </c>
      <c r="I194" s="204">
        <f t="shared" si="32"/>
        <v>0</v>
      </c>
      <c r="J194" s="161">
        <v>0</v>
      </c>
      <c r="K194" s="128"/>
      <c r="L194" s="205">
        <f t="shared" si="33"/>
        <v>12000</v>
      </c>
      <c r="M194" s="205">
        <f t="shared" si="34"/>
        <v>0</v>
      </c>
      <c r="N194" s="128">
        <f t="shared" si="30"/>
        <v>0</v>
      </c>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row>
    <row r="195" spans="2:41" x14ac:dyDescent="0.2">
      <c r="B195" s="128"/>
      <c r="E195" s="321">
        <v>43100</v>
      </c>
      <c r="F195" s="306">
        <v>0</v>
      </c>
      <c r="G195" s="204">
        <f t="shared" si="31"/>
        <v>0</v>
      </c>
      <c r="H195" s="306">
        <f>I171</f>
        <v>0</v>
      </c>
      <c r="I195" s="306">
        <f>J171</f>
        <v>0</v>
      </c>
      <c r="J195" s="341">
        <f>K171</f>
        <v>0</v>
      </c>
      <c r="K195" s="306"/>
      <c r="L195" s="306">
        <f>M171</f>
        <v>2250</v>
      </c>
      <c r="M195" s="306">
        <f>N171</f>
        <v>0</v>
      </c>
      <c r="N195" s="322">
        <f>O171</f>
        <v>0</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row>
    <row r="196" spans="2:41" x14ac:dyDescent="0.2">
      <c r="B196" s="128"/>
      <c r="D196" s="151"/>
      <c r="E196" s="128"/>
      <c r="G196" s="128"/>
      <c r="I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row>
    <row r="197" spans="2:41" x14ac:dyDescent="0.2">
      <c r="B197" s="128"/>
      <c r="E197" s="128"/>
      <c r="G197" s="128"/>
      <c r="I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row>
    <row r="198" spans="2:41" ht="102" customHeight="1" x14ac:dyDescent="0.2">
      <c r="B198" s="195" t="s">
        <v>242</v>
      </c>
      <c r="C198" s="152" t="s">
        <v>45</v>
      </c>
      <c r="D198" s="152" t="s">
        <v>46</v>
      </c>
      <c r="E198" s="197" t="s">
        <v>38</v>
      </c>
      <c r="F198" s="155" t="s">
        <v>39</v>
      </c>
      <c r="G198" s="199" t="s">
        <v>84</v>
      </c>
      <c r="H198" s="156" t="s">
        <v>86</v>
      </c>
      <c r="I198" s="201" t="s">
        <v>85</v>
      </c>
      <c r="J198" s="343" t="s">
        <v>40</v>
      </c>
      <c r="K198" s="128"/>
      <c r="L198" s="200" t="s">
        <v>42</v>
      </c>
      <c r="M198" s="198" t="s">
        <v>43</v>
      </c>
      <c r="N198" s="202" t="s">
        <v>87</v>
      </c>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row>
    <row r="199" spans="2:41" x14ac:dyDescent="0.2">
      <c r="B199" s="498" t="s">
        <v>83</v>
      </c>
      <c r="C199" s="154">
        <v>1</v>
      </c>
      <c r="D199" s="154"/>
      <c r="E199" s="182">
        <v>40544</v>
      </c>
      <c r="F199" s="154">
        <v>0.5</v>
      </c>
      <c r="G199" s="204">
        <f t="shared" ref="G199:G222" si="35">M199/20</f>
        <v>112.5</v>
      </c>
      <c r="H199" s="154">
        <v>8</v>
      </c>
      <c r="I199" s="128"/>
      <c r="J199" s="161">
        <v>0</v>
      </c>
      <c r="K199" s="128"/>
      <c r="L199" s="205">
        <f>H199*$M$2</f>
        <v>16000</v>
      </c>
      <c r="M199" s="205">
        <f>F199*$M$3</f>
        <v>2250</v>
      </c>
      <c r="N199" s="207">
        <f t="shared" ref="N199:N222" si="36">J199*100</f>
        <v>0</v>
      </c>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row>
    <row r="200" spans="2:41" x14ac:dyDescent="0.2">
      <c r="B200" s="498"/>
      <c r="C200" s="154">
        <v>1</v>
      </c>
      <c r="D200" s="154">
        <v>1</v>
      </c>
      <c r="E200" s="182">
        <v>40558</v>
      </c>
      <c r="F200" s="154">
        <v>3</v>
      </c>
      <c r="G200" s="204">
        <f t="shared" si="35"/>
        <v>675</v>
      </c>
      <c r="H200" s="154">
        <v>8</v>
      </c>
      <c r="I200" s="204">
        <f t="shared" ref="I200:I222" si="37">(L200-L199)/15</f>
        <v>0</v>
      </c>
      <c r="J200" s="161">
        <v>0</v>
      </c>
      <c r="K200" s="128"/>
      <c r="L200" s="205">
        <f t="shared" ref="L200:L222" si="38">H200*$M$2</f>
        <v>16000</v>
      </c>
      <c r="M200" s="205">
        <f t="shared" ref="M200:M222" si="39">F200*$M$3</f>
        <v>13500</v>
      </c>
      <c r="N200" s="207">
        <f t="shared" si="36"/>
        <v>0</v>
      </c>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row>
    <row r="201" spans="2:41" x14ac:dyDescent="0.2">
      <c r="B201" s="498"/>
      <c r="C201" s="154">
        <v>1</v>
      </c>
      <c r="D201" s="154">
        <v>1</v>
      </c>
      <c r="E201" s="182">
        <v>40575</v>
      </c>
      <c r="F201" s="154">
        <v>5.5</v>
      </c>
      <c r="G201" s="204">
        <f t="shared" si="35"/>
        <v>1237.5</v>
      </c>
      <c r="H201" s="154">
        <v>10</v>
      </c>
      <c r="I201" s="204">
        <f t="shared" si="37"/>
        <v>266.66666666666669</v>
      </c>
      <c r="J201" s="161">
        <v>0.02</v>
      </c>
      <c r="K201" s="128"/>
      <c r="L201" s="205">
        <f t="shared" si="38"/>
        <v>20000</v>
      </c>
      <c r="M201" s="205">
        <f t="shared" si="39"/>
        <v>24750</v>
      </c>
      <c r="N201" s="207">
        <f t="shared" si="36"/>
        <v>2</v>
      </c>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row>
    <row r="202" spans="2:41" x14ac:dyDescent="0.2">
      <c r="B202" s="498"/>
      <c r="C202" s="154">
        <v>1</v>
      </c>
      <c r="D202" s="154">
        <v>1</v>
      </c>
      <c r="E202" s="182">
        <v>40589</v>
      </c>
      <c r="F202" s="154">
        <v>7</v>
      </c>
      <c r="G202" s="204">
        <f t="shared" si="35"/>
        <v>1575</v>
      </c>
      <c r="H202" s="154">
        <v>12</v>
      </c>
      <c r="I202" s="204">
        <f t="shared" si="37"/>
        <v>266.66666666666669</v>
      </c>
      <c r="J202" s="161">
        <v>0.02</v>
      </c>
      <c r="K202" s="128"/>
      <c r="L202" s="205">
        <f t="shared" si="38"/>
        <v>24000</v>
      </c>
      <c r="M202" s="205">
        <f t="shared" si="39"/>
        <v>31500</v>
      </c>
      <c r="N202" s="207">
        <f t="shared" si="36"/>
        <v>2</v>
      </c>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row>
    <row r="203" spans="2:41" x14ac:dyDescent="0.2">
      <c r="B203" s="498"/>
      <c r="C203" s="154">
        <v>1</v>
      </c>
      <c r="D203" s="154">
        <v>1</v>
      </c>
      <c r="E203" s="182">
        <v>40603</v>
      </c>
      <c r="F203" s="154">
        <v>8</v>
      </c>
      <c r="G203" s="204">
        <f t="shared" si="35"/>
        <v>1800</v>
      </c>
      <c r="H203" s="154">
        <v>16</v>
      </c>
      <c r="I203" s="204">
        <f t="shared" si="37"/>
        <v>533.33333333333337</v>
      </c>
      <c r="J203" s="161">
        <v>0.03</v>
      </c>
      <c r="K203" s="128"/>
      <c r="L203" s="205">
        <f t="shared" si="38"/>
        <v>32000</v>
      </c>
      <c r="M203" s="205">
        <f t="shared" si="39"/>
        <v>36000</v>
      </c>
      <c r="N203" s="207">
        <f t="shared" si="36"/>
        <v>3</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row>
    <row r="204" spans="2:41" x14ac:dyDescent="0.2">
      <c r="B204" s="498"/>
      <c r="C204" s="154"/>
      <c r="D204" s="154">
        <v>1</v>
      </c>
      <c r="E204" s="182">
        <v>40617</v>
      </c>
      <c r="F204" s="154">
        <v>10</v>
      </c>
      <c r="G204" s="204">
        <f t="shared" si="35"/>
        <v>2250</v>
      </c>
      <c r="H204" s="154">
        <v>20</v>
      </c>
      <c r="I204" s="204">
        <f t="shared" si="37"/>
        <v>533.33333333333337</v>
      </c>
      <c r="J204" s="161">
        <v>0.08</v>
      </c>
      <c r="K204" s="128"/>
      <c r="L204" s="205">
        <f t="shared" si="38"/>
        <v>40000</v>
      </c>
      <c r="M204" s="205">
        <f t="shared" si="39"/>
        <v>45000</v>
      </c>
      <c r="N204" s="207">
        <f t="shared" si="36"/>
        <v>8</v>
      </c>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row>
    <row r="205" spans="2:41" x14ac:dyDescent="0.2">
      <c r="B205" s="498"/>
      <c r="C205" s="154"/>
      <c r="D205" s="154">
        <v>1</v>
      </c>
      <c r="E205" s="182">
        <v>40634</v>
      </c>
      <c r="F205" s="154">
        <v>3</v>
      </c>
      <c r="G205" s="204">
        <f t="shared" si="35"/>
        <v>675</v>
      </c>
      <c r="H205" s="154">
        <v>5</v>
      </c>
      <c r="I205" s="204">
        <f t="shared" si="37"/>
        <v>-2000</v>
      </c>
      <c r="J205" s="161">
        <v>0.1</v>
      </c>
      <c r="K205" s="128"/>
      <c r="L205" s="205">
        <f t="shared" si="38"/>
        <v>10000</v>
      </c>
      <c r="M205" s="205">
        <f t="shared" si="39"/>
        <v>13500</v>
      </c>
      <c r="N205" s="207">
        <f t="shared" si="36"/>
        <v>10</v>
      </c>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row>
    <row r="206" spans="2:41" x14ac:dyDescent="0.2">
      <c r="B206" s="498"/>
      <c r="C206" s="154"/>
      <c r="D206" s="154">
        <v>1</v>
      </c>
      <c r="E206" s="182">
        <v>40648</v>
      </c>
      <c r="F206" s="154">
        <v>3</v>
      </c>
      <c r="G206" s="204">
        <f t="shared" si="35"/>
        <v>675</v>
      </c>
      <c r="H206" s="154">
        <v>5</v>
      </c>
      <c r="I206" s="204">
        <f t="shared" si="37"/>
        <v>0</v>
      </c>
      <c r="J206" s="161">
        <v>0.01</v>
      </c>
      <c r="K206" s="128"/>
      <c r="L206" s="205">
        <f t="shared" si="38"/>
        <v>10000</v>
      </c>
      <c r="M206" s="205">
        <f t="shared" si="39"/>
        <v>13500</v>
      </c>
      <c r="N206" s="207">
        <f t="shared" si="36"/>
        <v>1</v>
      </c>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row>
    <row r="207" spans="2:41" x14ac:dyDescent="0.2">
      <c r="B207" s="498"/>
      <c r="C207" s="154"/>
      <c r="D207" s="154">
        <v>1</v>
      </c>
      <c r="E207" s="182">
        <v>40664</v>
      </c>
      <c r="F207" s="154">
        <v>4</v>
      </c>
      <c r="G207" s="204">
        <f t="shared" si="35"/>
        <v>900</v>
      </c>
      <c r="H207" s="154">
        <v>7</v>
      </c>
      <c r="I207" s="204">
        <f t="shared" si="37"/>
        <v>266.66666666666669</v>
      </c>
      <c r="J207" s="161">
        <v>0.03</v>
      </c>
      <c r="K207" s="128"/>
      <c r="L207" s="205">
        <f t="shared" si="38"/>
        <v>14000</v>
      </c>
      <c r="M207" s="205">
        <f t="shared" si="39"/>
        <v>18000</v>
      </c>
      <c r="N207" s="207">
        <f t="shared" si="36"/>
        <v>3</v>
      </c>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row>
    <row r="208" spans="2:41" x14ac:dyDescent="0.2">
      <c r="B208" s="498"/>
      <c r="C208" s="154"/>
      <c r="D208" s="154">
        <v>1</v>
      </c>
      <c r="E208" s="182">
        <v>40678</v>
      </c>
      <c r="F208" s="154">
        <v>5</v>
      </c>
      <c r="G208" s="204">
        <f t="shared" si="35"/>
        <v>1125</v>
      </c>
      <c r="H208" s="154">
        <v>10</v>
      </c>
      <c r="I208" s="204">
        <f t="shared" si="37"/>
        <v>400</v>
      </c>
      <c r="J208" s="161">
        <v>0.05</v>
      </c>
      <c r="K208" s="128"/>
      <c r="L208" s="205">
        <f t="shared" si="38"/>
        <v>20000</v>
      </c>
      <c r="M208" s="205">
        <f t="shared" si="39"/>
        <v>22500</v>
      </c>
      <c r="N208" s="207">
        <f t="shared" si="36"/>
        <v>5</v>
      </c>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row>
    <row r="209" spans="2:41" x14ac:dyDescent="0.2">
      <c r="B209" s="498"/>
      <c r="C209" s="154"/>
      <c r="D209" s="154">
        <v>1</v>
      </c>
      <c r="E209" s="182">
        <v>40695</v>
      </c>
      <c r="F209" s="154">
        <v>7</v>
      </c>
      <c r="G209" s="204">
        <f t="shared" si="35"/>
        <v>1575</v>
      </c>
      <c r="H209" s="154">
        <v>14</v>
      </c>
      <c r="I209" s="204">
        <f t="shared" si="37"/>
        <v>533.33333333333337</v>
      </c>
      <c r="J209" s="161">
        <v>0.05</v>
      </c>
      <c r="K209" s="128"/>
      <c r="L209" s="205">
        <f t="shared" si="38"/>
        <v>28000</v>
      </c>
      <c r="M209" s="205">
        <f t="shared" si="39"/>
        <v>31500</v>
      </c>
      <c r="N209" s="207">
        <f t="shared" si="36"/>
        <v>5</v>
      </c>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row>
    <row r="210" spans="2:41" x14ac:dyDescent="0.2">
      <c r="B210" s="498"/>
      <c r="C210" s="154"/>
      <c r="D210" s="154">
        <v>1</v>
      </c>
      <c r="E210" s="182">
        <v>40709</v>
      </c>
      <c r="F210" s="154">
        <v>7</v>
      </c>
      <c r="G210" s="204">
        <f t="shared" si="35"/>
        <v>1575</v>
      </c>
      <c r="H210" s="154">
        <v>18</v>
      </c>
      <c r="I210" s="204">
        <f t="shared" si="37"/>
        <v>533.33333333333337</v>
      </c>
      <c r="J210" s="161">
        <v>0.05</v>
      </c>
      <c r="K210" s="128"/>
      <c r="L210" s="205">
        <f t="shared" si="38"/>
        <v>36000</v>
      </c>
      <c r="M210" s="205">
        <f t="shared" si="39"/>
        <v>31500</v>
      </c>
      <c r="N210" s="207">
        <f t="shared" si="36"/>
        <v>5</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row>
    <row r="211" spans="2:41" x14ac:dyDescent="0.2">
      <c r="B211" s="498"/>
      <c r="C211" s="154"/>
      <c r="D211" s="154"/>
      <c r="E211" s="182">
        <v>40725</v>
      </c>
      <c r="F211" s="154">
        <v>6</v>
      </c>
      <c r="G211" s="204">
        <f t="shared" si="35"/>
        <v>1350</v>
      </c>
      <c r="H211" s="154">
        <v>21</v>
      </c>
      <c r="I211" s="204">
        <f t="shared" si="37"/>
        <v>400</v>
      </c>
      <c r="J211" s="161">
        <v>0.02</v>
      </c>
      <c r="K211" s="128"/>
      <c r="L211" s="205">
        <f t="shared" si="38"/>
        <v>42000</v>
      </c>
      <c r="M211" s="205">
        <f t="shared" si="39"/>
        <v>27000</v>
      </c>
      <c r="N211" s="207">
        <f t="shared" si="36"/>
        <v>2</v>
      </c>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row>
    <row r="212" spans="2:41" x14ac:dyDescent="0.2">
      <c r="B212" s="498"/>
      <c r="C212" s="154"/>
      <c r="D212" s="154"/>
      <c r="E212" s="182">
        <v>40739</v>
      </c>
      <c r="F212" s="154">
        <v>5</v>
      </c>
      <c r="G212" s="204">
        <f t="shared" si="35"/>
        <v>1125</v>
      </c>
      <c r="H212" s="157">
        <v>22</v>
      </c>
      <c r="I212" s="204">
        <f t="shared" si="37"/>
        <v>133.33333333333334</v>
      </c>
      <c r="J212" s="161">
        <v>0.01</v>
      </c>
      <c r="K212" s="128"/>
      <c r="L212" s="205">
        <f t="shared" si="38"/>
        <v>44000</v>
      </c>
      <c r="M212" s="205">
        <f t="shared" si="39"/>
        <v>22500</v>
      </c>
      <c r="N212" s="207">
        <f t="shared" si="36"/>
        <v>1</v>
      </c>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row>
    <row r="213" spans="2:41" x14ac:dyDescent="0.2">
      <c r="B213" s="498"/>
      <c r="C213" s="154"/>
      <c r="D213" s="154"/>
      <c r="E213" s="182">
        <v>40756</v>
      </c>
      <c r="F213" s="154">
        <v>3.5</v>
      </c>
      <c r="G213" s="204">
        <f t="shared" si="35"/>
        <v>787.5</v>
      </c>
      <c r="H213" s="154">
        <v>20</v>
      </c>
      <c r="I213" s="204">
        <f t="shared" si="37"/>
        <v>-266.66666666666669</v>
      </c>
      <c r="J213" s="161">
        <v>5.0000000000000001E-3</v>
      </c>
      <c r="K213" s="128"/>
      <c r="L213" s="205">
        <f t="shared" si="38"/>
        <v>40000</v>
      </c>
      <c r="M213" s="205">
        <f t="shared" si="39"/>
        <v>15750</v>
      </c>
      <c r="N213" s="207">
        <f t="shared" si="36"/>
        <v>0.5</v>
      </c>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row>
    <row r="214" spans="2:41" x14ac:dyDescent="0.2">
      <c r="B214" s="498"/>
      <c r="C214" s="154"/>
      <c r="D214" s="154"/>
      <c r="E214" s="182">
        <v>40770</v>
      </c>
      <c r="F214" s="154">
        <v>3.5</v>
      </c>
      <c r="G214" s="204">
        <f t="shared" si="35"/>
        <v>787.5</v>
      </c>
      <c r="H214" s="154">
        <v>17</v>
      </c>
      <c r="I214" s="204">
        <f t="shared" si="37"/>
        <v>-400</v>
      </c>
      <c r="J214" s="161">
        <v>5.0000000000000001E-3</v>
      </c>
      <c r="K214" s="128"/>
      <c r="L214" s="205">
        <f t="shared" si="38"/>
        <v>34000</v>
      </c>
      <c r="M214" s="205">
        <f t="shared" si="39"/>
        <v>15750</v>
      </c>
      <c r="N214" s="207">
        <f t="shared" si="36"/>
        <v>0.5</v>
      </c>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row>
    <row r="215" spans="2:41" x14ac:dyDescent="0.2">
      <c r="B215" s="498"/>
      <c r="C215" s="154"/>
      <c r="D215" s="154"/>
      <c r="E215" s="182">
        <v>40787</v>
      </c>
      <c r="F215" s="154">
        <v>2</v>
      </c>
      <c r="G215" s="204">
        <f t="shared" si="35"/>
        <v>450</v>
      </c>
      <c r="H215" s="154">
        <v>14</v>
      </c>
      <c r="I215" s="204">
        <f t="shared" si="37"/>
        <v>-400</v>
      </c>
      <c r="J215" s="161">
        <v>2.5000000000000001E-3</v>
      </c>
      <c r="K215" s="128"/>
      <c r="L215" s="205">
        <f t="shared" si="38"/>
        <v>28000</v>
      </c>
      <c r="M215" s="205">
        <f t="shared" si="39"/>
        <v>9000</v>
      </c>
      <c r="N215" s="207">
        <f t="shared" si="36"/>
        <v>0.25</v>
      </c>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row>
    <row r="216" spans="2:41" x14ac:dyDescent="0.2">
      <c r="B216" s="498"/>
      <c r="C216" s="154"/>
      <c r="D216" s="154"/>
      <c r="E216" s="182">
        <v>40801</v>
      </c>
      <c r="F216" s="154">
        <v>3</v>
      </c>
      <c r="G216" s="204">
        <f t="shared" si="35"/>
        <v>675</v>
      </c>
      <c r="H216" s="154">
        <v>12</v>
      </c>
      <c r="I216" s="204">
        <f t="shared" si="37"/>
        <v>-266.66666666666669</v>
      </c>
      <c r="J216" s="161">
        <v>0</v>
      </c>
      <c r="K216" s="128"/>
      <c r="L216" s="205">
        <f t="shared" si="38"/>
        <v>24000</v>
      </c>
      <c r="M216" s="205">
        <f t="shared" si="39"/>
        <v>13500</v>
      </c>
      <c r="N216" s="207">
        <f t="shared" si="36"/>
        <v>0</v>
      </c>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row>
    <row r="217" spans="2:41" x14ac:dyDescent="0.2">
      <c r="B217" s="498"/>
      <c r="C217" s="154"/>
      <c r="D217" s="154">
        <v>1</v>
      </c>
      <c r="E217" s="182">
        <v>40817</v>
      </c>
      <c r="F217" s="154">
        <v>3</v>
      </c>
      <c r="G217" s="204">
        <f t="shared" si="35"/>
        <v>675</v>
      </c>
      <c r="H217" s="154">
        <v>10</v>
      </c>
      <c r="I217" s="204">
        <f t="shared" si="37"/>
        <v>-266.66666666666669</v>
      </c>
      <c r="J217" s="161">
        <v>0</v>
      </c>
      <c r="K217" s="128"/>
      <c r="L217" s="205">
        <f t="shared" si="38"/>
        <v>20000</v>
      </c>
      <c r="M217" s="205">
        <f t="shared" si="39"/>
        <v>13500</v>
      </c>
      <c r="N217" s="207">
        <f t="shared" si="36"/>
        <v>0</v>
      </c>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row>
    <row r="218" spans="2:41" x14ac:dyDescent="0.2">
      <c r="B218" s="498"/>
      <c r="C218" s="154"/>
      <c r="D218" s="154">
        <v>1</v>
      </c>
      <c r="E218" s="182">
        <v>40831</v>
      </c>
      <c r="F218" s="154">
        <v>2.5</v>
      </c>
      <c r="G218" s="204">
        <f t="shared" si="35"/>
        <v>562.5</v>
      </c>
      <c r="H218" s="154">
        <v>9</v>
      </c>
      <c r="I218" s="204">
        <f t="shared" si="37"/>
        <v>-133.33333333333334</v>
      </c>
      <c r="J218" s="161">
        <v>0</v>
      </c>
      <c r="K218" s="128"/>
      <c r="L218" s="205">
        <f t="shared" si="38"/>
        <v>18000</v>
      </c>
      <c r="M218" s="205">
        <f t="shared" si="39"/>
        <v>11250</v>
      </c>
      <c r="N218" s="207">
        <f t="shared" si="36"/>
        <v>0</v>
      </c>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row>
    <row r="219" spans="2:41" x14ac:dyDescent="0.2">
      <c r="B219" s="498"/>
      <c r="C219" s="154">
        <v>1</v>
      </c>
      <c r="D219" s="154"/>
      <c r="E219" s="182">
        <v>40848</v>
      </c>
      <c r="F219" s="154">
        <v>2</v>
      </c>
      <c r="G219" s="204">
        <f t="shared" si="35"/>
        <v>450</v>
      </c>
      <c r="H219" s="154">
        <v>8</v>
      </c>
      <c r="I219" s="204">
        <f t="shared" si="37"/>
        <v>-133.33333333333334</v>
      </c>
      <c r="J219" s="161">
        <v>0</v>
      </c>
      <c r="K219" s="128"/>
      <c r="L219" s="205">
        <f t="shared" si="38"/>
        <v>16000</v>
      </c>
      <c r="M219" s="205">
        <f t="shared" si="39"/>
        <v>9000</v>
      </c>
      <c r="N219" s="207">
        <f t="shared" si="36"/>
        <v>0</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row>
    <row r="220" spans="2:41" x14ac:dyDescent="0.2">
      <c r="B220" s="498"/>
      <c r="C220" s="154">
        <v>1</v>
      </c>
      <c r="D220" s="154"/>
      <c r="E220" s="182">
        <v>40862</v>
      </c>
      <c r="F220" s="154">
        <v>0.5</v>
      </c>
      <c r="G220" s="204">
        <f t="shared" si="35"/>
        <v>112.5</v>
      </c>
      <c r="H220" s="154">
        <v>7</v>
      </c>
      <c r="I220" s="204">
        <f t="shared" si="37"/>
        <v>-133.33333333333334</v>
      </c>
      <c r="J220" s="161">
        <v>0</v>
      </c>
      <c r="K220" s="128"/>
      <c r="L220" s="205">
        <f t="shared" si="38"/>
        <v>14000</v>
      </c>
      <c r="M220" s="205">
        <f t="shared" si="39"/>
        <v>2250</v>
      </c>
      <c r="N220" s="207">
        <f t="shared" si="36"/>
        <v>0</v>
      </c>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row>
    <row r="221" spans="2:41" x14ac:dyDescent="0.2">
      <c r="B221" s="498"/>
      <c r="C221" s="154">
        <v>1</v>
      </c>
      <c r="D221" s="154"/>
      <c r="E221" s="182">
        <v>40878</v>
      </c>
      <c r="F221" s="154">
        <v>0.5</v>
      </c>
      <c r="G221" s="204">
        <f t="shared" si="35"/>
        <v>112.5</v>
      </c>
      <c r="H221" s="154">
        <v>8</v>
      </c>
      <c r="I221" s="204">
        <f t="shared" si="37"/>
        <v>133.33333333333334</v>
      </c>
      <c r="J221" s="161">
        <v>0</v>
      </c>
      <c r="K221" s="128"/>
      <c r="L221" s="205">
        <f t="shared" si="38"/>
        <v>16000</v>
      </c>
      <c r="M221" s="205">
        <f t="shared" si="39"/>
        <v>2250</v>
      </c>
      <c r="N221" s="207">
        <f t="shared" si="36"/>
        <v>0</v>
      </c>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row>
    <row r="222" spans="2:41" x14ac:dyDescent="0.2">
      <c r="B222" s="498"/>
      <c r="C222" s="154">
        <v>1</v>
      </c>
      <c r="D222" s="154"/>
      <c r="E222" s="182">
        <v>40892</v>
      </c>
      <c r="F222" s="154">
        <v>0</v>
      </c>
      <c r="G222" s="204">
        <f t="shared" si="35"/>
        <v>0</v>
      </c>
      <c r="H222" s="154">
        <v>8</v>
      </c>
      <c r="I222" s="204">
        <f t="shared" si="37"/>
        <v>0</v>
      </c>
      <c r="J222" s="161">
        <v>0</v>
      </c>
      <c r="K222" s="128"/>
      <c r="L222" s="205">
        <f t="shared" si="38"/>
        <v>16000</v>
      </c>
      <c r="M222" s="205">
        <f t="shared" si="39"/>
        <v>0</v>
      </c>
      <c r="N222" s="207">
        <f t="shared" si="36"/>
        <v>0</v>
      </c>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row>
    <row r="223" spans="2:41" x14ac:dyDescent="0.2">
      <c r="B223" s="128"/>
      <c r="E223" s="321">
        <v>43100</v>
      </c>
      <c r="F223" s="306">
        <v>0</v>
      </c>
      <c r="G223" s="306">
        <f>H199</f>
        <v>8</v>
      </c>
      <c r="H223" s="306">
        <v>8</v>
      </c>
      <c r="I223" s="306">
        <f>J199</f>
        <v>0</v>
      </c>
      <c r="J223" s="341">
        <f>K199</f>
        <v>0</v>
      </c>
      <c r="K223" s="306"/>
      <c r="L223" s="306">
        <f>M199</f>
        <v>2250</v>
      </c>
      <c r="M223" s="306">
        <f>N199</f>
        <v>0</v>
      </c>
      <c r="N223" s="322">
        <f>O199</f>
        <v>0</v>
      </c>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row>
    <row r="224" spans="2:41" x14ac:dyDescent="0.2">
      <c r="B224" s="128"/>
      <c r="E224" s="128"/>
      <c r="G224" s="128"/>
      <c r="I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row>
    <row r="225" spans="2:41" x14ac:dyDescent="0.2">
      <c r="B225" s="128"/>
      <c r="E225" s="128"/>
      <c r="G225" s="128"/>
      <c r="I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row>
    <row r="226" spans="2:41" ht="191.25" x14ac:dyDescent="0.2">
      <c r="B226" s="195" t="s">
        <v>213</v>
      </c>
      <c r="C226" s="152" t="s">
        <v>45</v>
      </c>
      <c r="D226" s="152" t="s">
        <v>46</v>
      </c>
      <c r="E226" s="197" t="s">
        <v>38</v>
      </c>
      <c r="F226" s="155" t="s">
        <v>39</v>
      </c>
      <c r="G226" s="199" t="s">
        <v>84</v>
      </c>
      <c r="H226" s="156" t="s">
        <v>86</v>
      </c>
      <c r="I226" s="201" t="s">
        <v>85</v>
      </c>
      <c r="J226" s="343" t="s">
        <v>40</v>
      </c>
      <c r="K226" s="128"/>
      <c r="L226" s="200" t="s">
        <v>42</v>
      </c>
      <c r="M226" s="198" t="s">
        <v>43</v>
      </c>
      <c r="N226" s="202" t="s">
        <v>87</v>
      </c>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row>
    <row r="227" spans="2:41" x14ac:dyDescent="0.2">
      <c r="B227" s="499"/>
      <c r="C227" s="114">
        <v>1</v>
      </c>
      <c r="D227" s="114"/>
      <c r="E227" s="182">
        <v>40544</v>
      </c>
      <c r="F227" s="114">
        <v>0</v>
      </c>
      <c r="G227" s="204">
        <f t="shared" ref="G227:G250" si="40">M227/20</f>
        <v>0</v>
      </c>
      <c r="H227" s="114">
        <v>8</v>
      </c>
      <c r="I227" s="205"/>
      <c r="J227" s="339">
        <v>0</v>
      </c>
      <c r="K227" s="128"/>
      <c r="L227" s="205">
        <f>H227*$M$2</f>
        <v>16000</v>
      </c>
      <c r="M227" s="205">
        <f>F227*$M$3</f>
        <v>0</v>
      </c>
      <c r="N227" s="207">
        <f t="shared" ref="N227:N250" si="41">J227*100</f>
        <v>0</v>
      </c>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row>
    <row r="228" spans="2:41" x14ac:dyDescent="0.2">
      <c r="B228" s="499"/>
      <c r="C228" s="114">
        <v>1</v>
      </c>
      <c r="D228" s="114"/>
      <c r="E228" s="182">
        <v>40558</v>
      </c>
      <c r="F228" s="114">
        <v>0.25</v>
      </c>
      <c r="G228" s="204">
        <f t="shared" si="40"/>
        <v>56.25</v>
      </c>
      <c r="H228" s="114">
        <v>8</v>
      </c>
      <c r="I228" s="204">
        <f t="shared" ref="I228:I250" si="42">(L228-L227)/15</f>
        <v>0</v>
      </c>
      <c r="J228" s="339">
        <v>0</v>
      </c>
      <c r="K228" s="128"/>
      <c r="L228" s="205">
        <f t="shared" ref="L228:L250" si="43">H228*$M$2</f>
        <v>16000</v>
      </c>
      <c r="M228" s="205">
        <f t="shared" ref="M228:M250" si="44">F228*$M$3</f>
        <v>1125</v>
      </c>
      <c r="N228" s="207">
        <f t="shared" si="41"/>
        <v>0</v>
      </c>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row>
    <row r="229" spans="2:41" x14ac:dyDescent="0.2">
      <c r="B229" s="499"/>
      <c r="C229" s="114">
        <v>1</v>
      </c>
      <c r="D229" s="114"/>
      <c r="E229" s="182">
        <v>40575</v>
      </c>
      <c r="F229" s="114">
        <v>0.5</v>
      </c>
      <c r="G229" s="204">
        <f t="shared" si="40"/>
        <v>112.5</v>
      </c>
      <c r="H229" s="114">
        <v>8</v>
      </c>
      <c r="I229" s="204">
        <f t="shared" si="42"/>
        <v>0</v>
      </c>
      <c r="J229" s="339">
        <v>0</v>
      </c>
      <c r="K229" s="128"/>
      <c r="L229" s="205">
        <f t="shared" si="43"/>
        <v>16000</v>
      </c>
      <c r="M229" s="205">
        <f t="shared" si="44"/>
        <v>2250</v>
      </c>
      <c r="N229" s="207">
        <f t="shared" si="41"/>
        <v>0</v>
      </c>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row>
    <row r="230" spans="2:41" x14ac:dyDescent="0.2">
      <c r="B230" s="499"/>
      <c r="C230" s="114">
        <v>1</v>
      </c>
      <c r="D230" s="114"/>
      <c r="E230" s="182">
        <v>40589</v>
      </c>
      <c r="F230" s="114">
        <v>0.5</v>
      </c>
      <c r="G230" s="204">
        <f t="shared" si="40"/>
        <v>112.5</v>
      </c>
      <c r="H230" s="114">
        <v>7</v>
      </c>
      <c r="I230" s="204">
        <f t="shared" si="42"/>
        <v>-133.33333333333334</v>
      </c>
      <c r="J230" s="339">
        <v>0</v>
      </c>
      <c r="K230" s="128"/>
      <c r="L230" s="205">
        <f t="shared" si="43"/>
        <v>14000</v>
      </c>
      <c r="M230" s="205">
        <f t="shared" si="44"/>
        <v>2250</v>
      </c>
      <c r="N230" s="207">
        <f t="shared" si="41"/>
        <v>0</v>
      </c>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row>
    <row r="231" spans="2:41" x14ac:dyDescent="0.2">
      <c r="B231" s="499"/>
      <c r="C231" s="114">
        <v>1</v>
      </c>
      <c r="D231" s="114"/>
      <c r="E231" s="182">
        <v>40603</v>
      </c>
      <c r="F231" s="114">
        <v>1</v>
      </c>
      <c r="G231" s="204">
        <f t="shared" si="40"/>
        <v>225</v>
      </c>
      <c r="H231" s="114">
        <v>7</v>
      </c>
      <c r="I231" s="204">
        <f t="shared" si="42"/>
        <v>0</v>
      </c>
      <c r="J231" s="339">
        <v>0</v>
      </c>
      <c r="K231" s="128"/>
      <c r="L231" s="205">
        <f t="shared" si="43"/>
        <v>14000</v>
      </c>
      <c r="M231" s="205">
        <f t="shared" si="44"/>
        <v>4500</v>
      </c>
      <c r="N231" s="207">
        <f t="shared" si="41"/>
        <v>0</v>
      </c>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row>
    <row r="232" spans="2:41" x14ac:dyDescent="0.2">
      <c r="B232" s="499"/>
      <c r="C232" s="114">
        <v>1</v>
      </c>
      <c r="D232" s="114"/>
      <c r="E232" s="182">
        <v>40617</v>
      </c>
      <c r="F232" s="114">
        <v>2</v>
      </c>
      <c r="G232" s="204">
        <f t="shared" si="40"/>
        <v>450</v>
      </c>
      <c r="H232" s="114">
        <v>6</v>
      </c>
      <c r="I232" s="204">
        <f t="shared" si="42"/>
        <v>-133.33333333333334</v>
      </c>
      <c r="J232" s="339">
        <v>0.02</v>
      </c>
      <c r="K232" s="128"/>
      <c r="L232" s="205">
        <f t="shared" si="43"/>
        <v>12000</v>
      </c>
      <c r="M232" s="205">
        <f t="shared" si="44"/>
        <v>9000</v>
      </c>
      <c r="N232" s="207">
        <f t="shared" si="41"/>
        <v>2</v>
      </c>
      <c r="O232" s="128"/>
      <c r="P232" s="128"/>
      <c r="Q232" s="128"/>
      <c r="R232" s="128"/>
      <c r="S232" s="128"/>
      <c r="T232" s="128"/>
      <c r="U232" s="128"/>
      <c r="V232" s="128"/>
      <c r="W232" s="210"/>
      <c r="X232" s="210"/>
      <c r="Y232" s="210"/>
      <c r="Z232" s="210"/>
      <c r="AA232" s="128"/>
      <c r="AB232" s="128"/>
      <c r="AC232" s="128"/>
      <c r="AD232" s="128"/>
      <c r="AE232" s="128"/>
      <c r="AF232" s="128"/>
      <c r="AG232" s="128"/>
      <c r="AH232" s="128"/>
      <c r="AI232" s="128"/>
      <c r="AJ232" s="128"/>
      <c r="AK232" s="128"/>
      <c r="AL232" s="128"/>
      <c r="AM232" s="128"/>
      <c r="AN232" s="128"/>
      <c r="AO232" s="128"/>
    </row>
    <row r="233" spans="2:41" x14ac:dyDescent="0.2">
      <c r="B233" s="499"/>
      <c r="C233" s="114"/>
      <c r="D233" s="114">
        <v>1</v>
      </c>
      <c r="E233" s="182">
        <v>40634</v>
      </c>
      <c r="F233" s="114">
        <v>3</v>
      </c>
      <c r="G233" s="204">
        <f t="shared" si="40"/>
        <v>675</v>
      </c>
      <c r="H233" s="114">
        <v>6</v>
      </c>
      <c r="I233" s="204">
        <f t="shared" si="42"/>
        <v>0</v>
      </c>
      <c r="J233" s="339">
        <v>0.03</v>
      </c>
      <c r="K233" s="128"/>
      <c r="L233" s="205">
        <f t="shared" si="43"/>
        <v>12000</v>
      </c>
      <c r="M233" s="205">
        <f t="shared" si="44"/>
        <v>13500</v>
      </c>
      <c r="N233" s="207">
        <f t="shared" si="41"/>
        <v>3</v>
      </c>
      <c r="O233" s="128"/>
      <c r="P233" s="128"/>
      <c r="Q233" s="128"/>
      <c r="R233" s="128"/>
      <c r="S233" s="128"/>
      <c r="T233" s="128"/>
      <c r="U233" s="128"/>
      <c r="V233" s="128"/>
      <c r="W233" s="210"/>
      <c r="X233" s="210"/>
      <c r="Y233" s="210"/>
      <c r="Z233" s="210"/>
      <c r="AA233" s="128"/>
      <c r="AB233" s="128"/>
      <c r="AC233" s="128"/>
      <c r="AD233" s="128"/>
      <c r="AE233" s="128"/>
      <c r="AF233" s="128"/>
      <c r="AG233" s="128"/>
      <c r="AH233" s="128"/>
      <c r="AI233" s="128"/>
      <c r="AJ233" s="128"/>
      <c r="AK233" s="128"/>
      <c r="AL233" s="128"/>
      <c r="AM233" s="128"/>
      <c r="AN233" s="128"/>
      <c r="AO233" s="128"/>
    </row>
    <row r="234" spans="2:41" x14ac:dyDescent="0.2">
      <c r="B234" s="499"/>
      <c r="C234" s="114"/>
      <c r="D234" s="114">
        <v>1</v>
      </c>
      <c r="E234" s="182">
        <v>40648</v>
      </c>
      <c r="F234" s="114">
        <v>5</v>
      </c>
      <c r="G234" s="204">
        <f t="shared" si="40"/>
        <v>1125</v>
      </c>
      <c r="H234" s="114">
        <v>8</v>
      </c>
      <c r="I234" s="204">
        <f t="shared" si="42"/>
        <v>266.66666666666669</v>
      </c>
      <c r="J234" s="339">
        <v>0.06</v>
      </c>
      <c r="K234" s="128"/>
      <c r="L234" s="205">
        <f t="shared" si="43"/>
        <v>16000</v>
      </c>
      <c r="M234" s="205">
        <f t="shared" si="44"/>
        <v>22500</v>
      </c>
      <c r="N234" s="207">
        <f t="shared" si="41"/>
        <v>6</v>
      </c>
      <c r="O234" s="128"/>
      <c r="P234" s="128"/>
      <c r="Q234" s="128"/>
      <c r="R234" s="128"/>
      <c r="S234" s="128"/>
      <c r="T234" s="128"/>
      <c r="U234" s="128"/>
      <c r="V234" s="128"/>
      <c r="W234" s="210"/>
      <c r="X234" s="210"/>
      <c r="Y234" s="210"/>
      <c r="Z234" s="210"/>
      <c r="AA234" s="128"/>
      <c r="AB234" s="128"/>
      <c r="AC234" s="128"/>
      <c r="AD234" s="128"/>
      <c r="AE234" s="128"/>
      <c r="AF234" s="128"/>
      <c r="AG234" s="128"/>
      <c r="AH234" s="128"/>
      <c r="AI234" s="128"/>
      <c r="AJ234" s="128"/>
      <c r="AK234" s="128"/>
      <c r="AL234" s="128"/>
      <c r="AM234" s="128"/>
      <c r="AN234" s="128"/>
      <c r="AO234" s="128"/>
    </row>
    <row r="235" spans="2:41" x14ac:dyDescent="0.2">
      <c r="B235" s="499"/>
      <c r="C235" s="114"/>
      <c r="D235" s="114">
        <v>1</v>
      </c>
      <c r="E235" s="182">
        <v>40664</v>
      </c>
      <c r="F235" s="114">
        <v>7</v>
      </c>
      <c r="G235" s="204">
        <f t="shared" si="40"/>
        <v>1575</v>
      </c>
      <c r="H235" s="114">
        <v>10</v>
      </c>
      <c r="I235" s="204">
        <f t="shared" si="42"/>
        <v>266.66666666666669</v>
      </c>
      <c r="J235" s="339">
        <v>0.1</v>
      </c>
      <c r="K235" s="128"/>
      <c r="L235" s="205">
        <f t="shared" si="43"/>
        <v>20000</v>
      </c>
      <c r="M235" s="205">
        <f t="shared" si="44"/>
        <v>31500</v>
      </c>
      <c r="N235" s="207">
        <f t="shared" si="41"/>
        <v>10</v>
      </c>
      <c r="O235" s="128"/>
      <c r="P235" s="128"/>
      <c r="Q235" s="128"/>
      <c r="R235" s="128"/>
      <c r="S235" s="128"/>
      <c r="T235" s="128"/>
      <c r="U235" s="128"/>
      <c r="V235" s="128"/>
      <c r="W235" s="210"/>
      <c r="X235" s="210"/>
      <c r="Y235" s="210"/>
      <c r="Z235" s="210"/>
      <c r="AA235" s="128"/>
      <c r="AB235" s="128"/>
      <c r="AC235" s="128"/>
      <c r="AD235" s="128"/>
      <c r="AE235" s="128"/>
      <c r="AF235" s="128"/>
      <c r="AG235" s="128"/>
      <c r="AH235" s="128"/>
      <c r="AI235" s="128"/>
      <c r="AJ235" s="128"/>
      <c r="AK235" s="128"/>
      <c r="AL235" s="128"/>
      <c r="AM235" s="128"/>
      <c r="AN235" s="128"/>
      <c r="AO235" s="128"/>
    </row>
    <row r="236" spans="2:41" x14ac:dyDescent="0.2">
      <c r="B236" s="499"/>
      <c r="C236" s="114"/>
      <c r="D236" s="114">
        <v>1</v>
      </c>
      <c r="E236" s="182">
        <v>40678</v>
      </c>
      <c r="F236" s="114">
        <v>2</v>
      </c>
      <c r="G236" s="204">
        <f t="shared" si="40"/>
        <v>450</v>
      </c>
      <c r="H236" s="114">
        <v>14</v>
      </c>
      <c r="I236" s="204">
        <f t="shared" si="42"/>
        <v>533.33333333333337</v>
      </c>
      <c r="J236" s="339">
        <v>0.1</v>
      </c>
      <c r="K236" s="128"/>
      <c r="L236" s="205">
        <f t="shared" si="43"/>
        <v>28000</v>
      </c>
      <c r="M236" s="205">
        <f t="shared" si="44"/>
        <v>9000</v>
      </c>
      <c r="N236" s="207">
        <f t="shared" si="41"/>
        <v>10</v>
      </c>
      <c r="O236" s="128"/>
      <c r="P236" s="128"/>
      <c r="Q236" s="128"/>
      <c r="R236" s="128"/>
      <c r="S236" s="128"/>
      <c r="T236" s="128"/>
      <c r="U236" s="128"/>
      <c r="V236" s="128"/>
      <c r="W236" s="210"/>
      <c r="X236" s="210"/>
      <c r="Y236" s="210"/>
      <c r="Z236" s="210"/>
      <c r="AA236" s="128"/>
      <c r="AB236" s="128"/>
      <c r="AC236" s="128"/>
      <c r="AD236" s="128"/>
      <c r="AE236" s="128"/>
      <c r="AF236" s="128"/>
      <c r="AG236" s="128"/>
      <c r="AH236" s="128"/>
      <c r="AI236" s="128"/>
      <c r="AJ236" s="128"/>
      <c r="AK236" s="128"/>
      <c r="AL236" s="128"/>
      <c r="AM236" s="128"/>
      <c r="AN236" s="128"/>
      <c r="AO236" s="128"/>
    </row>
    <row r="237" spans="2:41" x14ac:dyDescent="0.2">
      <c r="B237" s="499"/>
      <c r="C237" s="114"/>
      <c r="D237" s="114">
        <v>1</v>
      </c>
      <c r="E237" s="182">
        <v>40695</v>
      </c>
      <c r="F237" s="114">
        <v>6</v>
      </c>
      <c r="G237" s="204">
        <f t="shared" si="40"/>
        <v>1350</v>
      </c>
      <c r="H237" s="114">
        <v>8</v>
      </c>
      <c r="I237" s="204">
        <f t="shared" si="42"/>
        <v>-800</v>
      </c>
      <c r="J237" s="339">
        <v>0.05</v>
      </c>
      <c r="K237" s="128"/>
      <c r="L237" s="205">
        <f t="shared" si="43"/>
        <v>16000</v>
      </c>
      <c r="M237" s="205">
        <f t="shared" si="44"/>
        <v>27000</v>
      </c>
      <c r="N237" s="207">
        <f t="shared" si="41"/>
        <v>5</v>
      </c>
      <c r="O237" s="128"/>
      <c r="P237" s="128"/>
      <c r="Q237" s="128"/>
      <c r="R237" s="128"/>
      <c r="S237" s="128"/>
      <c r="T237" s="128"/>
      <c r="U237" s="128"/>
      <c r="V237" s="128"/>
      <c r="W237" s="210"/>
      <c r="X237" s="210"/>
      <c r="Y237" s="210"/>
      <c r="Z237" s="210"/>
      <c r="AA237" s="128"/>
      <c r="AB237" s="128"/>
      <c r="AC237" s="128"/>
      <c r="AD237" s="128"/>
      <c r="AE237" s="128"/>
      <c r="AF237" s="128"/>
      <c r="AG237" s="128"/>
      <c r="AH237" s="128"/>
      <c r="AI237" s="128"/>
      <c r="AJ237" s="128"/>
      <c r="AK237" s="128"/>
      <c r="AL237" s="128"/>
      <c r="AM237" s="128"/>
      <c r="AN237" s="128"/>
      <c r="AO237" s="128"/>
    </row>
    <row r="238" spans="2:41" x14ac:dyDescent="0.2">
      <c r="B238" s="499"/>
      <c r="C238" s="114"/>
      <c r="D238" s="114">
        <v>1</v>
      </c>
      <c r="E238" s="182">
        <v>40709</v>
      </c>
      <c r="F238" s="114">
        <v>6</v>
      </c>
      <c r="G238" s="204">
        <f t="shared" si="40"/>
        <v>1350</v>
      </c>
      <c r="H238" s="114">
        <v>12</v>
      </c>
      <c r="I238" s="204">
        <f t="shared" si="42"/>
        <v>533.33333333333337</v>
      </c>
      <c r="J238" s="339">
        <v>0.05</v>
      </c>
      <c r="K238" s="128"/>
      <c r="L238" s="205">
        <f t="shared" si="43"/>
        <v>24000</v>
      </c>
      <c r="M238" s="205">
        <f t="shared" si="44"/>
        <v>27000</v>
      </c>
      <c r="N238" s="207">
        <f t="shared" si="41"/>
        <v>5</v>
      </c>
      <c r="O238" s="128"/>
      <c r="P238" s="128"/>
      <c r="Q238" s="128"/>
      <c r="R238" s="128"/>
      <c r="S238" s="128"/>
      <c r="T238" s="128"/>
      <c r="U238" s="128"/>
      <c r="V238" s="128"/>
      <c r="W238" s="210"/>
      <c r="X238" s="210"/>
      <c r="Y238" s="210"/>
      <c r="Z238" s="210"/>
      <c r="AA238" s="128"/>
      <c r="AB238" s="128"/>
      <c r="AC238" s="128"/>
      <c r="AD238" s="128"/>
      <c r="AE238" s="128"/>
      <c r="AF238" s="128"/>
      <c r="AG238" s="128"/>
      <c r="AH238" s="128"/>
      <c r="AI238" s="128"/>
      <c r="AJ238" s="128"/>
      <c r="AK238" s="128"/>
      <c r="AL238" s="128"/>
      <c r="AM238" s="128"/>
      <c r="AN238" s="128"/>
      <c r="AO238" s="128"/>
    </row>
    <row r="239" spans="2:41" x14ac:dyDescent="0.2">
      <c r="B239" s="499"/>
      <c r="C239" s="114"/>
      <c r="D239" s="114">
        <v>1</v>
      </c>
      <c r="E239" s="182">
        <v>40725</v>
      </c>
      <c r="F239" s="114">
        <v>5.5</v>
      </c>
      <c r="G239" s="204">
        <f t="shared" si="40"/>
        <v>1237.5</v>
      </c>
      <c r="H239" s="114">
        <v>16</v>
      </c>
      <c r="I239" s="204">
        <f t="shared" si="42"/>
        <v>533.33333333333337</v>
      </c>
      <c r="J239" s="339">
        <v>0.05</v>
      </c>
      <c r="K239" s="128"/>
      <c r="L239" s="205">
        <f t="shared" si="43"/>
        <v>32000</v>
      </c>
      <c r="M239" s="205">
        <f t="shared" si="44"/>
        <v>24750</v>
      </c>
      <c r="N239" s="207">
        <f t="shared" si="41"/>
        <v>5</v>
      </c>
      <c r="O239" s="128"/>
      <c r="P239" s="128"/>
      <c r="Q239" s="128"/>
      <c r="R239" s="128"/>
      <c r="S239" s="128"/>
      <c r="T239" s="128"/>
      <c r="U239" s="128"/>
      <c r="V239" s="128"/>
      <c r="W239" s="210"/>
      <c r="X239" s="210"/>
      <c r="Y239" s="210"/>
      <c r="Z239" s="210"/>
      <c r="AA239" s="128"/>
      <c r="AB239" s="128"/>
      <c r="AC239" s="128"/>
      <c r="AD239" s="128"/>
      <c r="AE239" s="128"/>
      <c r="AF239" s="128"/>
      <c r="AG239" s="128"/>
      <c r="AH239" s="128"/>
      <c r="AI239" s="128"/>
      <c r="AJ239" s="128"/>
      <c r="AK239" s="128"/>
      <c r="AL239" s="128"/>
      <c r="AM239" s="128"/>
      <c r="AN239" s="128"/>
      <c r="AO239" s="128"/>
    </row>
    <row r="240" spans="2:41" x14ac:dyDescent="0.2">
      <c r="B240" s="499"/>
      <c r="C240" s="114"/>
      <c r="D240" s="114">
        <v>1</v>
      </c>
      <c r="E240" s="182">
        <v>40739</v>
      </c>
      <c r="F240" s="114">
        <v>5</v>
      </c>
      <c r="G240" s="204">
        <f t="shared" si="40"/>
        <v>1125</v>
      </c>
      <c r="H240" s="114">
        <v>21</v>
      </c>
      <c r="I240" s="204">
        <f t="shared" si="42"/>
        <v>666.66666666666663</v>
      </c>
      <c r="J240" s="339">
        <v>0.05</v>
      </c>
      <c r="K240" s="128"/>
      <c r="L240" s="205">
        <f t="shared" si="43"/>
        <v>42000</v>
      </c>
      <c r="M240" s="205">
        <f t="shared" si="44"/>
        <v>22500</v>
      </c>
      <c r="N240" s="207">
        <f t="shared" si="41"/>
        <v>5</v>
      </c>
      <c r="O240" s="128"/>
      <c r="P240" s="128"/>
      <c r="Q240" s="128"/>
      <c r="R240" s="128"/>
      <c r="S240" s="128"/>
      <c r="T240" s="128"/>
      <c r="U240" s="128"/>
      <c r="V240" s="128"/>
      <c r="W240" s="210"/>
      <c r="X240" s="210"/>
      <c r="Y240" s="210"/>
      <c r="Z240" s="210"/>
      <c r="AA240" s="128"/>
      <c r="AB240" s="128"/>
      <c r="AC240" s="128"/>
      <c r="AD240" s="128"/>
      <c r="AE240" s="128"/>
      <c r="AF240" s="128"/>
      <c r="AG240" s="128"/>
      <c r="AH240" s="128"/>
      <c r="AI240" s="128"/>
      <c r="AJ240" s="128"/>
      <c r="AK240" s="128"/>
      <c r="AL240" s="128"/>
      <c r="AM240" s="128"/>
      <c r="AN240" s="128"/>
      <c r="AO240" s="128"/>
    </row>
    <row r="241" spans="2:41" x14ac:dyDescent="0.2">
      <c r="B241" s="499"/>
      <c r="C241" s="114"/>
      <c r="D241" s="114">
        <v>1</v>
      </c>
      <c r="E241" s="182">
        <v>40756</v>
      </c>
      <c r="F241" s="114">
        <v>4.5</v>
      </c>
      <c r="G241" s="204">
        <f t="shared" si="40"/>
        <v>1012.5</v>
      </c>
      <c r="H241" s="114">
        <v>22</v>
      </c>
      <c r="I241" s="204">
        <f t="shared" si="42"/>
        <v>133.33333333333334</v>
      </c>
      <c r="J241" s="339">
        <v>0.05</v>
      </c>
      <c r="K241" s="128"/>
      <c r="L241" s="205">
        <f t="shared" si="43"/>
        <v>44000</v>
      </c>
      <c r="M241" s="205">
        <f t="shared" si="44"/>
        <v>20250</v>
      </c>
      <c r="N241" s="207">
        <f t="shared" si="41"/>
        <v>5</v>
      </c>
      <c r="O241" s="128"/>
      <c r="P241" s="128"/>
      <c r="Q241" s="128"/>
      <c r="R241" s="128"/>
      <c r="S241" s="128"/>
      <c r="T241" s="128"/>
      <c r="U241" s="128"/>
      <c r="V241" s="128"/>
      <c r="W241" s="210"/>
      <c r="X241" s="210"/>
      <c r="Y241" s="210"/>
      <c r="Z241" s="210"/>
      <c r="AA241" s="128"/>
      <c r="AB241" s="128"/>
      <c r="AC241" s="128"/>
      <c r="AD241" s="128"/>
      <c r="AE241" s="128"/>
      <c r="AF241" s="128"/>
      <c r="AG241" s="128"/>
      <c r="AH241" s="128"/>
      <c r="AI241" s="128"/>
      <c r="AJ241" s="128"/>
      <c r="AK241" s="128"/>
      <c r="AL241" s="128"/>
      <c r="AM241" s="128"/>
      <c r="AN241" s="128"/>
      <c r="AO241" s="128"/>
    </row>
    <row r="242" spans="2:41" x14ac:dyDescent="0.2">
      <c r="B242" s="499"/>
      <c r="C242" s="114"/>
      <c r="D242" s="114">
        <v>1</v>
      </c>
      <c r="E242" s="182">
        <v>40770</v>
      </c>
      <c r="F242" s="114">
        <v>4</v>
      </c>
      <c r="G242" s="204">
        <f t="shared" si="40"/>
        <v>900</v>
      </c>
      <c r="H242" s="114">
        <v>22</v>
      </c>
      <c r="I242" s="204">
        <f t="shared" si="42"/>
        <v>0</v>
      </c>
      <c r="J242" s="339">
        <v>0.05</v>
      </c>
      <c r="K242" s="128"/>
      <c r="L242" s="205">
        <f t="shared" si="43"/>
        <v>44000</v>
      </c>
      <c r="M242" s="205">
        <f t="shared" si="44"/>
        <v>18000</v>
      </c>
      <c r="N242" s="207">
        <f t="shared" si="41"/>
        <v>5</v>
      </c>
      <c r="O242" s="128"/>
      <c r="P242" s="128"/>
      <c r="Q242" s="128"/>
      <c r="R242" s="128"/>
      <c r="S242" s="128"/>
      <c r="T242" s="128"/>
      <c r="U242" s="128"/>
      <c r="V242" s="128"/>
      <c r="W242" s="210"/>
      <c r="X242" s="210"/>
      <c r="Y242" s="210"/>
      <c r="Z242" s="210"/>
      <c r="AA242" s="128"/>
      <c r="AB242" s="128"/>
      <c r="AC242" s="128"/>
      <c r="AD242" s="128"/>
      <c r="AE242" s="128"/>
      <c r="AF242" s="128"/>
      <c r="AG242" s="128"/>
      <c r="AH242" s="128"/>
      <c r="AI242" s="128"/>
      <c r="AJ242" s="128"/>
      <c r="AK242" s="128"/>
      <c r="AL242" s="128"/>
      <c r="AM242" s="128"/>
      <c r="AN242" s="128"/>
      <c r="AO242" s="128"/>
    </row>
    <row r="243" spans="2:41" x14ac:dyDescent="0.2">
      <c r="B243" s="499"/>
      <c r="C243" s="114"/>
      <c r="D243" s="114"/>
      <c r="E243" s="182">
        <v>40787</v>
      </c>
      <c r="F243" s="114">
        <v>3.5</v>
      </c>
      <c r="G243" s="204">
        <f t="shared" si="40"/>
        <v>787.5</v>
      </c>
      <c r="H243" s="114">
        <v>19</v>
      </c>
      <c r="I243" s="204">
        <f t="shared" si="42"/>
        <v>-400</v>
      </c>
      <c r="J243" s="339">
        <v>0.02</v>
      </c>
      <c r="K243" s="128"/>
      <c r="L243" s="205">
        <f t="shared" si="43"/>
        <v>38000</v>
      </c>
      <c r="M243" s="205">
        <f t="shared" si="44"/>
        <v>15750</v>
      </c>
      <c r="N243" s="207">
        <f t="shared" si="41"/>
        <v>2</v>
      </c>
      <c r="O243" s="128"/>
      <c r="P243" s="128"/>
      <c r="Q243" s="128"/>
      <c r="R243" s="128"/>
      <c r="S243" s="128"/>
      <c r="T243" s="128"/>
      <c r="U243" s="128"/>
      <c r="V243" s="128"/>
      <c r="W243" s="210"/>
      <c r="X243" s="210"/>
      <c r="Y243" s="210"/>
      <c r="Z243" s="210"/>
      <c r="AA243" s="128"/>
      <c r="AB243" s="128"/>
      <c r="AC243" s="128"/>
      <c r="AD243" s="128"/>
      <c r="AE243" s="128"/>
      <c r="AF243" s="128"/>
      <c r="AG243" s="128"/>
      <c r="AH243" s="128"/>
      <c r="AI243" s="128"/>
      <c r="AJ243" s="128"/>
      <c r="AK243" s="128"/>
      <c r="AL243" s="128"/>
      <c r="AM243" s="128"/>
      <c r="AN243" s="128"/>
      <c r="AO243" s="128"/>
    </row>
    <row r="244" spans="2:41" x14ac:dyDescent="0.2">
      <c r="B244" s="499"/>
      <c r="C244" s="114"/>
      <c r="D244" s="114"/>
      <c r="E244" s="182">
        <v>40801</v>
      </c>
      <c r="F244" s="114">
        <v>4</v>
      </c>
      <c r="G244" s="204">
        <f t="shared" si="40"/>
        <v>900</v>
      </c>
      <c r="H244" s="114">
        <v>16</v>
      </c>
      <c r="I244" s="204">
        <f t="shared" si="42"/>
        <v>-400</v>
      </c>
      <c r="J244" s="339">
        <v>0.02</v>
      </c>
      <c r="K244" s="128"/>
      <c r="L244" s="205">
        <f t="shared" si="43"/>
        <v>32000</v>
      </c>
      <c r="M244" s="205">
        <f t="shared" si="44"/>
        <v>18000</v>
      </c>
      <c r="N244" s="207">
        <f t="shared" si="41"/>
        <v>2</v>
      </c>
      <c r="O244" s="128"/>
      <c r="P244" s="128"/>
      <c r="Q244" s="128"/>
      <c r="R244" s="128"/>
      <c r="S244" s="128"/>
      <c r="T244" s="128"/>
      <c r="U244" s="128"/>
      <c r="V244" s="128"/>
      <c r="W244" s="210"/>
      <c r="X244" s="210"/>
      <c r="Y244" s="210"/>
      <c r="Z244" s="210"/>
      <c r="AA244" s="128"/>
      <c r="AB244" s="128"/>
      <c r="AC244" s="128"/>
      <c r="AD244" s="128"/>
      <c r="AE244" s="128"/>
      <c r="AF244" s="128"/>
      <c r="AG244" s="128"/>
      <c r="AH244" s="128"/>
      <c r="AI244" s="128"/>
      <c r="AJ244" s="128"/>
      <c r="AK244" s="128"/>
      <c r="AL244" s="128"/>
      <c r="AM244" s="128"/>
      <c r="AN244" s="128"/>
      <c r="AO244" s="128"/>
    </row>
    <row r="245" spans="2:41" x14ac:dyDescent="0.2">
      <c r="B245" s="499"/>
      <c r="C245" s="114">
        <v>1</v>
      </c>
      <c r="D245" s="114"/>
      <c r="E245" s="182">
        <v>40817</v>
      </c>
      <c r="F245" s="114">
        <v>2</v>
      </c>
      <c r="G245" s="204">
        <f t="shared" si="40"/>
        <v>450</v>
      </c>
      <c r="H245" s="114">
        <v>15</v>
      </c>
      <c r="I245" s="204">
        <f t="shared" si="42"/>
        <v>-133.33333333333334</v>
      </c>
      <c r="J245" s="339">
        <v>0</v>
      </c>
      <c r="K245" s="128"/>
      <c r="L245" s="205">
        <f t="shared" si="43"/>
        <v>30000</v>
      </c>
      <c r="M245" s="205">
        <f t="shared" si="44"/>
        <v>9000</v>
      </c>
      <c r="N245" s="207">
        <f t="shared" si="41"/>
        <v>0</v>
      </c>
      <c r="O245" s="128"/>
      <c r="P245" s="128"/>
      <c r="Q245" s="128"/>
      <c r="R245" s="128"/>
      <c r="S245" s="128"/>
      <c r="T245" s="128"/>
      <c r="U245" s="128"/>
      <c r="V245" s="128"/>
      <c r="W245" s="210"/>
      <c r="X245" s="210"/>
      <c r="Y245" s="210"/>
      <c r="Z245" s="210"/>
      <c r="AA245" s="128"/>
      <c r="AB245" s="128"/>
      <c r="AC245" s="128"/>
      <c r="AD245" s="128"/>
      <c r="AE245" s="128"/>
      <c r="AF245" s="128"/>
      <c r="AG245" s="128"/>
      <c r="AH245" s="128"/>
      <c r="AI245" s="128"/>
      <c r="AJ245" s="128"/>
      <c r="AK245" s="128"/>
      <c r="AL245" s="128"/>
      <c r="AM245" s="128"/>
      <c r="AN245" s="128"/>
      <c r="AO245" s="128"/>
    </row>
    <row r="246" spans="2:41" x14ac:dyDescent="0.2">
      <c r="B246" s="499"/>
      <c r="C246" s="114">
        <v>1</v>
      </c>
      <c r="D246" s="114"/>
      <c r="E246" s="182">
        <v>40831</v>
      </c>
      <c r="F246" s="114">
        <v>0.5</v>
      </c>
      <c r="G246" s="204">
        <f t="shared" si="40"/>
        <v>112.5</v>
      </c>
      <c r="H246" s="114">
        <v>12</v>
      </c>
      <c r="I246" s="204">
        <f t="shared" si="42"/>
        <v>-400</v>
      </c>
      <c r="J246" s="339">
        <v>0</v>
      </c>
      <c r="K246" s="128"/>
      <c r="L246" s="205">
        <f t="shared" si="43"/>
        <v>24000</v>
      </c>
      <c r="M246" s="205">
        <f t="shared" si="44"/>
        <v>2250</v>
      </c>
      <c r="N246" s="207">
        <f t="shared" si="41"/>
        <v>0</v>
      </c>
      <c r="O246" s="128"/>
      <c r="P246" s="128"/>
      <c r="Q246" s="128"/>
      <c r="R246" s="128"/>
      <c r="S246" s="128"/>
      <c r="T246" s="128"/>
      <c r="U246" s="128"/>
      <c r="V246" s="128"/>
      <c r="W246" s="210"/>
      <c r="X246" s="210"/>
      <c r="Y246" s="210"/>
      <c r="Z246" s="210"/>
      <c r="AA246" s="128"/>
      <c r="AB246" s="128"/>
      <c r="AC246" s="128"/>
      <c r="AD246" s="128"/>
      <c r="AE246" s="128"/>
      <c r="AF246" s="128"/>
      <c r="AG246" s="128"/>
      <c r="AH246" s="128"/>
      <c r="AI246" s="128"/>
      <c r="AJ246" s="128"/>
      <c r="AK246" s="128"/>
      <c r="AL246" s="128"/>
      <c r="AM246" s="128"/>
      <c r="AN246" s="128"/>
      <c r="AO246" s="128"/>
    </row>
    <row r="247" spans="2:41" x14ac:dyDescent="0.2">
      <c r="B247" s="499"/>
      <c r="C247" s="114">
        <v>1</v>
      </c>
      <c r="D247" s="114"/>
      <c r="E247" s="182">
        <v>40848</v>
      </c>
      <c r="F247" s="114">
        <v>0</v>
      </c>
      <c r="G247" s="204">
        <f t="shared" si="40"/>
        <v>0</v>
      </c>
      <c r="H247" s="114">
        <v>8</v>
      </c>
      <c r="I247" s="204">
        <f t="shared" si="42"/>
        <v>-533.33333333333337</v>
      </c>
      <c r="J247" s="339">
        <v>0</v>
      </c>
      <c r="K247" s="128"/>
      <c r="L247" s="205">
        <f t="shared" si="43"/>
        <v>16000</v>
      </c>
      <c r="M247" s="205">
        <f t="shared" si="44"/>
        <v>0</v>
      </c>
      <c r="N247" s="207">
        <f t="shared" si="41"/>
        <v>0</v>
      </c>
      <c r="O247" s="128"/>
      <c r="P247" s="128"/>
      <c r="Q247" s="128"/>
      <c r="R247" s="128"/>
      <c r="S247" s="128"/>
      <c r="T247" s="128"/>
      <c r="U247" s="128"/>
      <c r="V247" s="128"/>
      <c r="W247" s="210"/>
      <c r="X247" s="210"/>
      <c r="Y247" s="210"/>
      <c r="Z247" s="210"/>
      <c r="AA247" s="128"/>
      <c r="AB247" s="128"/>
      <c r="AC247" s="128"/>
      <c r="AD247" s="128"/>
      <c r="AE247" s="128"/>
      <c r="AF247" s="128"/>
      <c r="AG247" s="128"/>
      <c r="AH247" s="128"/>
      <c r="AI247" s="128"/>
      <c r="AJ247" s="128"/>
      <c r="AK247" s="128"/>
      <c r="AL247" s="128"/>
      <c r="AM247" s="128"/>
      <c r="AN247" s="128"/>
      <c r="AO247" s="128"/>
    </row>
    <row r="248" spans="2:41" x14ac:dyDescent="0.2">
      <c r="B248" s="499"/>
      <c r="C248" s="114">
        <v>1</v>
      </c>
      <c r="D248" s="114"/>
      <c r="E248" s="182">
        <v>40862</v>
      </c>
      <c r="F248" s="114">
        <v>0</v>
      </c>
      <c r="G248" s="204">
        <f t="shared" si="40"/>
        <v>0</v>
      </c>
      <c r="H248" s="114">
        <v>7</v>
      </c>
      <c r="I248" s="204">
        <f t="shared" si="42"/>
        <v>-133.33333333333334</v>
      </c>
      <c r="J248" s="339">
        <v>0</v>
      </c>
      <c r="K248" s="128"/>
      <c r="L248" s="205">
        <f t="shared" si="43"/>
        <v>14000</v>
      </c>
      <c r="M248" s="205">
        <f t="shared" si="44"/>
        <v>0</v>
      </c>
      <c r="N248" s="207">
        <f t="shared" si="41"/>
        <v>0</v>
      </c>
      <c r="O248" s="128"/>
      <c r="P248" s="128"/>
      <c r="Q248" s="128"/>
      <c r="R248" s="128"/>
      <c r="S248" s="128"/>
      <c r="T248" s="128"/>
      <c r="U248" s="128"/>
      <c r="V248" s="128"/>
      <c r="W248" s="210"/>
      <c r="X248" s="210"/>
      <c r="Y248" s="210"/>
      <c r="Z248" s="210"/>
      <c r="AA248" s="128"/>
      <c r="AB248" s="128"/>
      <c r="AC248" s="128"/>
      <c r="AD248" s="128"/>
      <c r="AE248" s="128"/>
      <c r="AF248" s="128"/>
      <c r="AG248" s="128"/>
      <c r="AH248" s="128"/>
      <c r="AI248" s="128"/>
      <c r="AJ248" s="128"/>
      <c r="AK248" s="128"/>
      <c r="AL248" s="128"/>
      <c r="AM248" s="128"/>
      <c r="AN248" s="128"/>
      <c r="AO248" s="128"/>
    </row>
    <row r="249" spans="2:41" x14ac:dyDescent="0.2">
      <c r="B249" s="499"/>
      <c r="C249" s="114">
        <v>1</v>
      </c>
      <c r="D249" s="114"/>
      <c r="E249" s="182">
        <v>40878</v>
      </c>
      <c r="F249" s="114">
        <v>0</v>
      </c>
      <c r="G249" s="204">
        <f t="shared" si="40"/>
        <v>0</v>
      </c>
      <c r="H249" s="114">
        <v>7</v>
      </c>
      <c r="I249" s="204">
        <f t="shared" si="42"/>
        <v>0</v>
      </c>
      <c r="J249" s="339">
        <v>0</v>
      </c>
      <c r="K249" s="128"/>
      <c r="L249" s="205">
        <f t="shared" si="43"/>
        <v>14000</v>
      </c>
      <c r="M249" s="205">
        <f t="shared" si="44"/>
        <v>0</v>
      </c>
      <c r="N249" s="207">
        <f t="shared" si="41"/>
        <v>0</v>
      </c>
      <c r="O249" s="128"/>
      <c r="P249" s="128"/>
      <c r="Q249" s="128"/>
      <c r="R249" s="128"/>
      <c r="S249" s="128"/>
      <c r="T249" s="128"/>
      <c r="U249" s="128"/>
      <c r="V249" s="128"/>
      <c r="W249" s="210"/>
      <c r="X249" s="210"/>
      <c r="Y249" s="210"/>
      <c r="Z249" s="210"/>
      <c r="AA249" s="128"/>
      <c r="AB249" s="128"/>
      <c r="AC249" s="128"/>
      <c r="AD249" s="128"/>
      <c r="AE249" s="128"/>
      <c r="AF249" s="128"/>
      <c r="AG249" s="128"/>
      <c r="AH249" s="128"/>
      <c r="AI249" s="128"/>
      <c r="AJ249" s="128"/>
      <c r="AK249" s="128"/>
      <c r="AL249" s="128"/>
      <c r="AM249" s="128"/>
      <c r="AN249" s="128"/>
      <c r="AO249" s="128"/>
    </row>
    <row r="250" spans="2:41" x14ac:dyDescent="0.2">
      <c r="B250" s="500"/>
      <c r="C250" s="114">
        <v>1</v>
      </c>
      <c r="D250" s="114"/>
      <c r="E250" s="182">
        <v>40892</v>
      </c>
      <c r="F250" s="114">
        <v>0</v>
      </c>
      <c r="G250" s="209">
        <f t="shared" si="40"/>
        <v>0</v>
      </c>
      <c r="H250" s="114">
        <v>7</v>
      </c>
      <c r="I250" s="204">
        <f t="shared" si="42"/>
        <v>0</v>
      </c>
      <c r="J250" s="339">
        <v>0</v>
      </c>
      <c r="K250" s="128"/>
      <c r="L250" s="205">
        <f t="shared" si="43"/>
        <v>14000</v>
      </c>
      <c r="M250" s="205">
        <f t="shared" si="44"/>
        <v>0</v>
      </c>
      <c r="N250" s="207">
        <f t="shared" si="41"/>
        <v>0</v>
      </c>
      <c r="O250" s="128"/>
      <c r="P250" s="128"/>
      <c r="Q250" s="128"/>
      <c r="R250" s="128"/>
      <c r="S250" s="128"/>
      <c r="T250" s="128"/>
      <c r="U250" s="128"/>
      <c r="V250" s="128"/>
      <c r="W250" s="210"/>
      <c r="X250" s="210"/>
      <c r="Y250" s="210"/>
      <c r="Z250" s="210"/>
      <c r="AA250" s="128"/>
      <c r="AB250" s="128"/>
      <c r="AC250" s="128"/>
      <c r="AD250" s="128"/>
      <c r="AE250" s="128"/>
      <c r="AF250" s="128"/>
      <c r="AG250" s="128"/>
      <c r="AH250" s="128"/>
      <c r="AI250" s="128"/>
      <c r="AJ250" s="128"/>
      <c r="AK250" s="128"/>
      <c r="AL250" s="128"/>
      <c r="AM250" s="128"/>
      <c r="AN250" s="128"/>
      <c r="AO250" s="128"/>
    </row>
    <row r="251" spans="2:41" x14ac:dyDescent="0.2">
      <c r="B251" s="128"/>
      <c r="C251" s="128"/>
      <c r="D251" s="176"/>
      <c r="E251" s="321">
        <v>43100</v>
      </c>
      <c r="F251" s="306">
        <f>G227</f>
        <v>0</v>
      </c>
      <c r="G251" s="306">
        <f>H227</f>
        <v>8</v>
      </c>
      <c r="H251" s="306">
        <f>I227</f>
        <v>0</v>
      </c>
      <c r="I251" s="306">
        <f>J227</f>
        <v>0</v>
      </c>
      <c r="J251" s="341">
        <f>K227</f>
        <v>0</v>
      </c>
      <c r="K251" s="306"/>
      <c r="L251" s="306">
        <f>M227</f>
        <v>0</v>
      </c>
      <c r="M251" s="306">
        <f>N227</f>
        <v>0</v>
      </c>
      <c r="N251" s="322">
        <f>O227</f>
        <v>0</v>
      </c>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row>
    <row r="252" spans="2:41" x14ac:dyDescent="0.2">
      <c r="B252" s="128"/>
      <c r="C252" s="128"/>
      <c r="D252" s="176"/>
      <c r="E252" s="128"/>
      <c r="F252" s="128"/>
      <c r="G252" s="128"/>
      <c r="H252" s="128"/>
      <c r="I252" s="128"/>
      <c r="J252" s="335"/>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row>
    <row r="253" spans="2:41" x14ac:dyDescent="0.2">
      <c r="B253" s="128"/>
      <c r="C253" s="128"/>
      <c r="D253" s="176"/>
      <c r="E253" s="128"/>
      <c r="F253" s="128"/>
      <c r="G253" s="128"/>
      <c r="H253" s="128"/>
      <c r="I253" s="128"/>
      <c r="J253" s="335"/>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row>
    <row r="254" spans="2:41" ht="191.25" x14ac:dyDescent="0.2">
      <c r="B254" s="195" t="s">
        <v>165</v>
      </c>
      <c r="C254" s="196" t="s">
        <v>45</v>
      </c>
      <c r="D254" s="196" t="s">
        <v>46</v>
      </c>
      <c r="E254" s="197" t="s">
        <v>38</v>
      </c>
      <c r="F254" s="198" t="s">
        <v>39</v>
      </c>
      <c r="G254" s="199" t="s">
        <v>84</v>
      </c>
      <c r="H254" s="200" t="s">
        <v>86</v>
      </c>
      <c r="I254" s="201" t="s">
        <v>85</v>
      </c>
      <c r="J254" s="338" t="s">
        <v>40</v>
      </c>
      <c r="K254" s="128"/>
      <c r="L254" s="200" t="s">
        <v>42</v>
      </c>
      <c r="M254" s="198" t="s">
        <v>43</v>
      </c>
      <c r="N254" s="202" t="s">
        <v>87</v>
      </c>
      <c r="O254" s="128"/>
      <c r="P254" s="176"/>
      <c r="Q254" s="128"/>
      <c r="R254" s="128"/>
      <c r="S254" s="128"/>
      <c r="T254" s="128"/>
      <c r="U254" s="128"/>
      <c r="V254" s="128"/>
      <c r="W254" s="213"/>
      <c r="X254" s="213"/>
      <c r="Y254" s="213"/>
      <c r="Z254" s="213"/>
      <c r="AA254" s="128"/>
      <c r="AB254" s="128"/>
      <c r="AC254" s="128"/>
      <c r="AD254" s="128"/>
      <c r="AE254" s="128"/>
      <c r="AF254" s="128"/>
      <c r="AG254" s="128"/>
      <c r="AH254" s="128"/>
      <c r="AI254" s="128"/>
      <c r="AJ254" s="128"/>
      <c r="AK254" s="128"/>
      <c r="AL254" s="128"/>
      <c r="AM254" s="128"/>
      <c r="AN254" s="128"/>
      <c r="AO254" s="128"/>
    </row>
    <row r="255" spans="2:41" ht="15" x14ac:dyDescent="0.25">
      <c r="B255" s="499"/>
      <c r="C255" s="184">
        <v>1</v>
      </c>
      <c r="D255" s="184"/>
      <c r="E255" s="182">
        <v>40544</v>
      </c>
      <c r="F255" s="184">
        <v>0</v>
      </c>
      <c r="G255" s="204">
        <f t="shared" ref="G255:G278" si="45">M255/20</f>
        <v>0</v>
      </c>
      <c r="H255" s="184">
        <v>5</v>
      </c>
      <c r="I255" s="205"/>
      <c r="J255" s="344">
        <v>0</v>
      </c>
      <c r="K255" s="128"/>
      <c r="L255" s="205">
        <f>H255*$M$2</f>
        <v>10000</v>
      </c>
      <c r="M255" s="205">
        <f>F255*$M$3</f>
        <v>0</v>
      </c>
      <c r="N255" s="207">
        <f t="shared" ref="N255:N278" si="46">J255*100</f>
        <v>0</v>
      </c>
      <c r="O255" s="128"/>
      <c r="P255" s="128"/>
      <c r="Q255" s="501"/>
      <c r="R255" s="501"/>
      <c r="S255" s="501"/>
      <c r="T255" s="501"/>
      <c r="U255" s="501"/>
      <c r="V255" s="128"/>
      <c r="W255" s="210"/>
      <c r="X255" s="210"/>
      <c r="Y255" s="210"/>
      <c r="Z255" s="210"/>
      <c r="AA255" s="128"/>
      <c r="AB255" s="128"/>
      <c r="AC255" s="128"/>
      <c r="AD255" s="128"/>
      <c r="AE255" s="128"/>
      <c r="AF255" s="128"/>
      <c r="AG255" s="128"/>
      <c r="AH255" s="128"/>
      <c r="AI255" s="128"/>
      <c r="AJ255" s="128"/>
      <c r="AK255" s="128"/>
      <c r="AL255" s="128"/>
      <c r="AM255" s="128"/>
      <c r="AN255" s="128"/>
      <c r="AO255" s="128"/>
    </row>
    <row r="256" spans="2:41" x14ac:dyDescent="0.2">
      <c r="B256" s="499"/>
      <c r="C256" s="184">
        <v>1</v>
      </c>
      <c r="D256" s="184"/>
      <c r="E256" s="182">
        <v>40558</v>
      </c>
      <c r="F256" s="184">
        <v>0</v>
      </c>
      <c r="G256" s="204">
        <f t="shared" si="45"/>
        <v>0</v>
      </c>
      <c r="H256" s="184">
        <v>5</v>
      </c>
      <c r="I256" s="204">
        <f t="shared" ref="I256:I278" si="47">(L256-L255)/15</f>
        <v>0</v>
      </c>
      <c r="J256" s="344">
        <v>0</v>
      </c>
      <c r="K256" s="128"/>
      <c r="L256" s="205">
        <f t="shared" ref="L256:L278" si="48">H256*$M$2</f>
        <v>10000</v>
      </c>
      <c r="M256" s="205">
        <f t="shared" ref="M256:M278" si="49">F256*$M$3</f>
        <v>0</v>
      </c>
      <c r="N256" s="207">
        <f t="shared" si="46"/>
        <v>0</v>
      </c>
      <c r="O256" s="128"/>
      <c r="P256" s="128"/>
      <c r="Q256" s="128"/>
      <c r="R256" s="128"/>
      <c r="S256" s="128"/>
      <c r="T256" s="128"/>
      <c r="U256" s="128"/>
      <c r="V256" s="128"/>
      <c r="W256" s="210"/>
      <c r="X256" s="210"/>
      <c r="Y256" s="210"/>
      <c r="Z256" s="210"/>
      <c r="AA256" s="128"/>
      <c r="AB256" s="128"/>
      <c r="AC256" s="128"/>
      <c r="AD256" s="128"/>
      <c r="AE256" s="128"/>
      <c r="AF256" s="128"/>
      <c r="AG256" s="128"/>
      <c r="AH256" s="128"/>
      <c r="AI256" s="128"/>
      <c r="AJ256" s="128"/>
      <c r="AK256" s="128"/>
      <c r="AL256" s="128"/>
      <c r="AM256" s="128"/>
      <c r="AN256" s="128"/>
      <c r="AO256" s="128"/>
    </row>
    <row r="257" spans="2:41" ht="15" x14ac:dyDescent="0.25">
      <c r="B257" s="499"/>
      <c r="C257" s="184">
        <v>1</v>
      </c>
      <c r="D257" s="184"/>
      <c r="E257" s="182">
        <v>40575</v>
      </c>
      <c r="F257" s="184">
        <v>0</v>
      </c>
      <c r="G257" s="204">
        <f t="shared" si="45"/>
        <v>0</v>
      </c>
      <c r="H257" s="184">
        <v>4.5</v>
      </c>
      <c r="I257" s="204">
        <f t="shared" si="47"/>
        <v>-66.666666666666671</v>
      </c>
      <c r="J257" s="344">
        <v>0</v>
      </c>
      <c r="K257" s="128"/>
      <c r="L257" s="205">
        <f t="shared" si="48"/>
        <v>9000</v>
      </c>
      <c r="M257" s="205">
        <f t="shared" si="49"/>
        <v>0</v>
      </c>
      <c r="N257" s="207">
        <f t="shared" si="46"/>
        <v>0</v>
      </c>
      <c r="O257" s="128"/>
      <c r="P257" s="214"/>
      <c r="Q257" s="215"/>
      <c r="R257" s="208"/>
      <c r="S257" s="216"/>
      <c r="T257" s="217"/>
      <c r="U257" s="217"/>
      <c r="V257" s="128"/>
      <c r="W257" s="210"/>
      <c r="X257" s="210"/>
      <c r="Y257" s="210"/>
      <c r="Z257" s="210"/>
      <c r="AA257" s="128"/>
      <c r="AB257" s="128"/>
      <c r="AC257" s="128"/>
      <c r="AD257" s="128"/>
      <c r="AE257" s="128"/>
      <c r="AF257" s="128"/>
      <c r="AG257" s="128"/>
      <c r="AH257" s="128"/>
      <c r="AI257" s="128"/>
      <c r="AJ257" s="128"/>
      <c r="AK257" s="128"/>
      <c r="AL257" s="128"/>
      <c r="AM257" s="128"/>
      <c r="AN257" s="128"/>
      <c r="AO257" s="128"/>
    </row>
    <row r="258" spans="2:41" ht="15" x14ac:dyDescent="0.25">
      <c r="B258" s="499"/>
      <c r="C258" s="184">
        <v>1</v>
      </c>
      <c r="D258" s="184"/>
      <c r="E258" s="182">
        <v>40589</v>
      </c>
      <c r="F258" s="184">
        <v>0.5</v>
      </c>
      <c r="G258" s="204">
        <f t="shared" si="45"/>
        <v>112.5</v>
      </c>
      <c r="H258" s="184">
        <v>4.5</v>
      </c>
      <c r="I258" s="204">
        <f t="shared" si="47"/>
        <v>0</v>
      </c>
      <c r="J258" s="344">
        <v>0</v>
      </c>
      <c r="K258" s="128"/>
      <c r="L258" s="205">
        <f t="shared" si="48"/>
        <v>9000</v>
      </c>
      <c r="M258" s="205">
        <f t="shared" si="49"/>
        <v>2250</v>
      </c>
      <c r="N258" s="207">
        <f t="shared" si="46"/>
        <v>0</v>
      </c>
      <c r="O258" s="128"/>
      <c r="P258" s="214"/>
      <c r="Q258" s="215"/>
      <c r="R258" s="208"/>
      <c r="S258" s="128"/>
      <c r="T258" s="217"/>
      <c r="U258" s="217"/>
      <c r="V258" s="128"/>
      <c r="W258" s="210"/>
      <c r="X258" s="210"/>
      <c r="Y258" s="210"/>
      <c r="Z258" s="210"/>
      <c r="AA258" s="128"/>
      <c r="AB258" s="128"/>
      <c r="AC258" s="128"/>
      <c r="AD258" s="128"/>
      <c r="AE258" s="128"/>
      <c r="AF258" s="128"/>
      <c r="AG258" s="128"/>
      <c r="AH258" s="128"/>
      <c r="AI258" s="128"/>
      <c r="AJ258" s="128"/>
      <c r="AK258" s="128"/>
      <c r="AL258" s="128"/>
      <c r="AM258" s="128"/>
      <c r="AN258" s="128"/>
      <c r="AO258" s="128"/>
    </row>
    <row r="259" spans="2:41" ht="15" x14ac:dyDescent="0.25">
      <c r="B259" s="499"/>
      <c r="C259" s="184">
        <v>1</v>
      </c>
      <c r="D259" s="184"/>
      <c r="E259" s="182">
        <v>40603</v>
      </c>
      <c r="F259" s="184">
        <v>0.5</v>
      </c>
      <c r="G259" s="204">
        <f t="shared" si="45"/>
        <v>112.5</v>
      </c>
      <c r="H259" s="184">
        <v>4</v>
      </c>
      <c r="I259" s="204">
        <f t="shared" si="47"/>
        <v>-66.666666666666671</v>
      </c>
      <c r="J259" s="344">
        <v>0</v>
      </c>
      <c r="K259" s="128"/>
      <c r="L259" s="205">
        <f t="shared" si="48"/>
        <v>8000</v>
      </c>
      <c r="M259" s="205">
        <f t="shared" si="49"/>
        <v>2250</v>
      </c>
      <c r="N259" s="207">
        <f t="shared" si="46"/>
        <v>0</v>
      </c>
      <c r="O259" s="128"/>
      <c r="P259" s="214"/>
      <c r="Q259" s="208"/>
      <c r="R259" s="208"/>
      <c r="S259" s="128"/>
      <c r="T259" s="217"/>
      <c r="U259" s="217"/>
      <c r="V259" s="128"/>
      <c r="W259" s="210"/>
      <c r="X259" s="210"/>
      <c r="Y259" s="210"/>
      <c r="Z259" s="210"/>
      <c r="AA259" s="128"/>
      <c r="AB259" s="128"/>
      <c r="AC259" s="128"/>
      <c r="AD259" s="128"/>
      <c r="AE259" s="128"/>
      <c r="AF259" s="128"/>
      <c r="AG259" s="128"/>
      <c r="AH259" s="128"/>
      <c r="AI259" s="128"/>
      <c r="AJ259" s="128"/>
      <c r="AK259" s="128"/>
      <c r="AL259" s="128"/>
      <c r="AM259" s="128"/>
      <c r="AN259" s="128"/>
      <c r="AO259" s="128"/>
    </row>
    <row r="260" spans="2:41" ht="15" x14ac:dyDescent="0.25">
      <c r="B260" s="499"/>
      <c r="C260" s="184">
        <v>1</v>
      </c>
      <c r="D260" s="184"/>
      <c r="E260" s="182">
        <v>40617</v>
      </c>
      <c r="F260" s="184">
        <v>0.75</v>
      </c>
      <c r="G260" s="204">
        <f t="shared" si="45"/>
        <v>168.75</v>
      </c>
      <c r="H260" s="184">
        <v>4</v>
      </c>
      <c r="I260" s="204">
        <f t="shared" si="47"/>
        <v>0</v>
      </c>
      <c r="J260" s="344">
        <v>0</v>
      </c>
      <c r="K260" s="128"/>
      <c r="L260" s="205">
        <f t="shared" si="48"/>
        <v>8000</v>
      </c>
      <c r="M260" s="205">
        <f t="shared" si="49"/>
        <v>3375</v>
      </c>
      <c r="N260" s="207">
        <f t="shared" si="46"/>
        <v>0</v>
      </c>
      <c r="O260" s="128"/>
      <c r="P260" s="214"/>
      <c r="Q260" s="208"/>
      <c r="R260" s="208"/>
      <c r="S260" s="128"/>
      <c r="T260" s="217"/>
      <c r="U260" s="217"/>
      <c r="V260" s="128"/>
      <c r="W260" s="210"/>
      <c r="X260" s="210"/>
      <c r="Y260" s="210"/>
      <c r="Z260" s="210"/>
      <c r="AA260" s="128"/>
      <c r="AB260" s="128"/>
      <c r="AC260" s="128"/>
      <c r="AD260" s="128"/>
      <c r="AE260" s="128"/>
      <c r="AF260" s="128"/>
      <c r="AG260" s="128"/>
      <c r="AH260" s="128"/>
      <c r="AI260" s="128"/>
      <c r="AJ260" s="128"/>
      <c r="AK260" s="128"/>
      <c r="AL260" s="128"/>
      <c r="AM260" s="128"/>
      <c r="AN260" s="128"/>
      <c r="AO260" s="128"/>
    </row>
    <row r="261" spans="2:41" ht="15" x14ac:dyDescent="0.25">
      <c r="B261" s="499"/>
      <c r="C261" s="184"/>
      <c r="D261" s="184">
        <v>1</v>
      </c>
      <c r="E261" s="182">
        <v>40634</v>
      </c>
      <c r="F261" s="184">
        <v>0.75</v>
      </c>
      <c r="G261" s="204">
        <f t="shared" si="45"/>
        <v>168.75</v>
      </c>
      <c r="H261" s="184">
        <v>4</v>
      </c>
      <c r="I261" s="204">
        <f t="shared" si="47"/>
        <v>0</v>
      </c>
      <c r="J261" s="344">
        <v>0</v>
      </c>
      <c r="K261" s="128"/>
      <c r="L261" s="205">
        <f t="shared" si="48"/>
        <v>8000</v>
      </c>
      <c r="M261" s="205">
        <f t="shared" si="49"/>
        <v>3375</v>
      </c>
      <c r="N261" s="207">
        <f t="shared" si="46"/>
        <v>0</v>
      </c>
      <c r="O261" s="128"/>
      <c r="P261" s="214"/>
      <c r="Q261" s="208"/>
      <c r="R261" s="208"/>
      <c r="S261" s="128"/>
      <c r="T261" s="217"/>
      <c r="U261" s="217"/>
      <c r="V261" s="128"/>
      <c r="W261" s="210"/>
      <c r="X261" s="210"/>
      <c r="Y261" s="210"/>
      <c r="Z261" s="210"/>
      <c r="AA261" s="128"/>
      <c r="AB261" s="128"/>
      <c r="AC261" s="128"/>
      <c r="AD261" s="128"/>
      <c r="AE261" s="128"/>
      <c r="AF261" s="128"/>
      <c r="AG261" s="128"/>
      <c r="AH261" s="128"/>
      <c r="AI261" s="128"/>
      <c r="AJ261" s="128"/>
      <c r="AK261" s="128"/>
      <c r="AL261" s="128"/>
      <c r="AM261" s="128"/>
      <c r="AN261" s="128"/>
      <c r="AO261" s="128"/>
    </row>
    <row r="262" spans="2:41" x14ac:dyDescent="0.2">
      <c r="B262" s="499"/>
      <c r="C262" s="184"/>
      <c r="D262" s="184">
        <v>1</v>
      </c>
      <c r="E262" s="182">
        <v>40648</v>
      </c>
      <c r="F262" s="184">
        <v>1</v>
      </c>
      <c r="G262" s="204">
        <f t="shared" si="45"/>
        <v>225</v>
      </c>
      <c r="H262" s="184">
        <v>4</v>
      </c>
      <c r="I262" s="204">
        <f t="shared" si="47"/>
        <v>0</v>
      </c>
      <c r="J262" s="344">
        <v>0</v>
      </c>
      <c r="K262" s="128"/>
      <c r="L262" s="205">
        <f t="shared" si="48"/>
        <v>8000</v>
      </c>
      <c r="M262" s="205">
        <f t="shared" si="49"/>
        <v>4500</v>
      </c>
      <c r="N262" s="207">
        <f t="shared" si="46"/>
        <v>0</v>
      </c>
      <c r="O262" s="128"/>
      <c r="P262" s="189"/>
      <c r="Q262" s="128"/>
      <c r="R262" s="128"/>
      <c r="S262" s="128"/>
      <c r="T262" s="128"/>
      <c r="U262" s="128"/>
      <c r="V262" s="128"/>
      <c r="W262" s="210"/>
      <c r="X262" s="210"/>
      <c r="Y262" s="210"/>
      <c r="Z262" s="210"/>
      <c r="AA262" s="128"/>
      <c r="AB262" s="128"/>
      <c r="AC262" s="128"/>
      <c r="AD262" s="128"/>
      <c r="AE262" s="128"/>
      <c r="AF262" s="128"/>
      <c r="AG262" s="128"/>
      <c r="AH262" s="128"/>
      <c r="AI262" s="128"/>
      <c r="AJ262" s="128"/>
      <c r="AK262" s="128"/>
      <c r="AL262" s="128"/>
      <c r="AM262" s="128"/>
      <c r="AN262" s="128"/>
      <c r="AO262" s="128"/>
    </row>
    <row r="263" spans="2:41" x14ac:dyDescent="0.2">
      <c r="B263" s="499"/>
      <c r="C263" s="184"/>
      <c r="D263" s="184">
        <v>1</v>
      </c>
      <c r="E263" s="182">
        <v>40664</v>
      </c>
      <c r="F263" s="184">
        <v>1.5</v>
      </c>
      <c r="G263" s="204">
        <f t="shared" si="45"/>
        <v>337.5</v>
      </c>
      <c r="H263" s="184">
        <v>4</v>
      </c>
      <c r="I263" s="204">
        <f t="shared" si="47"/>
        <v>0</v>
      </c>
      <c r="J263" s="344">
        <v>0</v>
      </c>
      <c r="K263" s="128"/>
      <c r="L263" s="205">
        <f t="shared" si="48"/>
        <v>8000</v>
      </c>
      <c r="M263" s="205">
        <f t="shared" si="49"/>
        <v>6750</v>
      </c>
      <c r="N263" s="207">
        <f t="shared" si="46"/>
        <v>0</v>
      </c>
      <c r="O263" s="128"/>
      <c r="P263" s="128"/>
      <c r="Q263" s="128"/>
      <c r="R263" s="128"/>
      <c r="S263" s="128"/>
      <c r="T263" s="128"/>
      <c r="U263" s="128"/>
      <c r="V263" s="128"/>
      <c r="W263" s="210"/>
      <c r="X263" s="210"/>
      <c r="Y263" s="210"/>
      <c r="Z263" s="210"/>
      <c r="AA263" s="128"/>
      <c r="AB263" s="128"/>
      <c r="AC263" s="128"/>
      <c r="AD263" s="128"/>
      <c r="AE263" s="128"/>
      <c r="AF263" s="128"/>
      <c r="AG263" s="128"/>
      <c r="AH263" s="128"/>
      <c r="AI263" s="128"/>
      <c r="AJ263" s="128"/>
      <c r="AK263" s="128"/>
      <c r="AL263" s="128"/>
      <c r="AM263" s="128"/>
      <c r="AN263" s="128"/>
      <c r="AO263" s="128"/>
    </row>
    <row r="264" spans="2:41" x14ac:dyDescent="0.2">
      <c r="B264" s="499"/>
      <c r="C264" s="184"/>
      <c r="D264" s="184">
        <v>1</v>
      </c>
      <c r="E264" s="182">
        <v>40678</v>
      </c>
      <c r="F264" s="184">
        <v>1.5</v>
      </c>
      <c r="G264" s="204">
        <f t="shared" si="45"/>
        <v>337.5</v>
      </c>
      <c r="H264" s="218">
        <v>3.5</v>
      </c>
      <c r="I264" s="204">
        <f t="shared" si="47"/>
        <v>-66.666666666666671</v>
      </c>
      <c r="J264" s="344">
        <v>0.05</v>
      </c>
      <c r="K264" s="128"/>
      <c r="L264" s="205">
        <f t="shared" si="48"/>
        <v>7000</v>
      </c>
      <c r="M264" s="205">
        <f t="shared" si="49"/>
        <v>6750</v>
      </c>
      <c r="N264" s="207">
        <f t="shared" si="46"/>
        <v>5</v>
      </c>
      <c r="O264" s="128"/>
      <c r="P264" s="128"/>
      <c r="Q264" s="128"/>
      <c r="R264" s="128"/>
      <c r="S264" s="128"/>
      <c r="T264" s="128"/>
      <c r="U264" s="128"/>
      <c r="V264" s="128"/>
      <c r="W264" s="210"/>
      <c r="X264" s="210"/>
      <c r="Y264" s="210"/>
      <c r="Z264" s="210"/>
      <c r="AA264" s="128"/>
      <c r="AB264" s="128"/>
      <c r="AC264" s="128"/>
      <c r="AD264" s="128"/>
      <c r="AE264" s="128"/>
      <c r="AF264" s="128"/>
      <c r="AG264" s="128"/>
      <c r="AH264" s="128"/>
      <c r="AI264" s="128"/>
      <c r="AJ264" s="128"/>
      <c r="AK264" s="128"/>
      <c r="AL264" s="128"/>
      <c r="AM264" s="128"/>
      <c r="AN264" s="128"/>
      <c r="AO264" s="128"/>
    </row>
    <row r="265" spans="2:41" x14ac:dyDescent="0.2">
      <c r="B265" s="499"/>
      <c r="C265" s="184"/>
      <c r="D265" s="184">
        <v>1</v>
      </c>
      <c r="E265" s="182">
        <v>40695</v>
      </c>
      <c r="F265" s="184">
        <v>1.75</v>
      </c>
      <c r="G265" s="204">
        <f t="shared" si="45"/>
        <v>393.75</v>
      </c>
      <c r="H265" s="218">
        <v>4.5</v>
      </c>
      <c r="I265" s="204">
        <f t="shared" si="47"/>
        <v>133.33333333333334</v>
      </c>
      <c r="J265" s="344">
        <v>0.05</v>
      </c>
      <c r="K265" s="128"/>
      <c r="L265" s="205">
        <f t="shared" si="48"/>
        <v>9000</v>
      </c>
      <c r="M265" s="205">
        <f t="shared" si="49"/>
        <v>7875</v>
      </c>
      <c r="N265" s="207">
        <f t="shared" si="46"/>
        <v>5</v>
      </c>
      <c r="O265" s="128"/>
      <c r="P265" s="128"/>
      <c r="Q265" s="128"/>
      <c r="R265" s="128"/>
      <c r="S265" s="128"/>
      <c r="T265" s="128"/>
      <c r="U265" s="128"/>
      <c r="V265" s="128"/>
      <c r="W265" s="210"/>
      <c r="X265" s="210"/>
      <c r="Y265" s="210"/>
      <c r="Z265" s="210"/>
      <c r="AA265" s="128"/>
      <c r="AB265" s="128"/>
      <c r="AC265" s="128"/>
      <c r="AD265" s="128"/>
      <c r="AE265" s="128"/>
      <c r="AF265" s="128"/>
      <c r="AG265" s="128"/>
      <c r="AH265" s="128"/>
      <c r="AI265" s="128"/>
      <c r="AJ265" s="128"/>
      <c r="AK265" s="128"/>
      <c r="AL265" s="128"/>
      <c r="AM265" s="128"/>
      <c r="AN265" s="128"/>
      <c r="AO265" s="128"/>
    </row>
    <row r="266" spans="2:41" x14ac:dyDescent="0.2">
      <c r="B266" s="499"/>
      <c r="C266" s="184"/>
      <c r="D266" s="184">
        <v>1</v>
      </c>
      <c r="E266" s="182">
        <v>40709</v>
      </c>
      <c r="F266" s="184">
        <v>2</v>
      </c>
      <c r="G266" s="204">
        <f t="shared" si="45"/>
        <v>450</v>
      </c>
      <c r="H266" s="218">
        <v>5</v>
      </c>
      <c r="I266" s="204">
        <f t="shared" si="47"/>
        <v>66.666666666666671</v>
      </c>
      <c r="J266" s="344">
        <v>0.05</v>
      </c>
      <c r="K266" s="128"/>
      <c r="L266" s="205">
        <f t="shared" si="48"/>
        <v>10000</v>
      </c>
      <c r="M266" s="205">
        <f t="shared" si="49"/>
        <v>9000</v>
      </c>
      <c r="N266" s="207">
        <f t="shared" si="46"/>
        <v>5</v>
      </c>
      <c r="O266" s="128"/>
      <c r="P266" s="128"/>
      <c r="Q266" s="128"/>
      <c r="R266" s="128"/>
      <c r="S266" s="128"/>
      <c r="T266" s="128"/>
      <c r="U266" s="128"/>
      <c r="V266" s="128"/>
      <c r="W266" s="210"/>
      <c r="X266" s="210"/>
      <c r="Y266" s="210"/>
      <c r="Z266" s="210"/>
      <c r="AA266" s="128"/>
      <c r="AB266" s="128"/>
      <c r="AC266" s="128"/>
      <c r="AD266" s="128"/>
      <c r="AE266" s="128"/>
      <c r="AF266" s="128"/>
      <c r="AG266" s="128"/>
      <c r="AH266" s="128"/>
      <c r="AI266" s="128"/>
      <c r="AJ266" s="128"/>
      <c r="AK266" s="128"/>
      <c r="AL266" s="128"/>
      <c r="AM266" s="128"/>
      <c r="AN266" s="128"/>
      <c r="AO266" s="128"/>
    </row>
    <row r="267" spans="2:41" x14ac:dyDescent="0.2">
      <c r="B267" s="499"/>
      <c r="C267" s="184"/>
      <c r="D267" s="184">
        <v>1</v>
      </c>
      <c r="E267" s="182">
        <v>40725</v>
      </c>
      <c r="F267" s="184">
        <v>2</v>
      </c>
      <c r="G267" s="204">
        <f t="shared" si="45"/>
        <v>450</v>
      </c>
      <c r="H267" s="218">
        <v>5.0999999999999996</v>
      </c>
      <c r="I267" s="204">
        <f t="shared" si="47"/>
        <v>13.333333333333334</v>
      </c>
      <c r="J267" s="344">
        <v>0.05</v>
      </c>
      <c r="K267" s="128"/>
      <c r="L267" s="205">
        <f t="shared" si="48"/>
        <v>10200</v>
      </c>
      <c r="M267" s="205">
        <f t="shared" si="49"/>
        <v>9000</v>
      </c>
      <c r="N267" s="207">
        <f t="shared" si="46"/>
        <v>5</v>
      </c>
      <c r="O267" s="128"/>
      <c r="P267" s="128"/>
      <c r="Q267" s="128"/>
      <c r="R267" s="128"/>
      <c r="S267" s="128"/>
      <c r="T267" s="128"/>
      <c r="U267" s="128"/>
      <c r="V267" s="128"/>
      <c r="W267" s="210"/>
      <c r="X267" s="210"/>
      <c r="Y267" s="210"/>
      <c r="Z267" s="210"/>
      <c r="AA267" s="128"/>
      <c r="AB267" s="128"/>
      <c r="AC267" s="128"/>
      <c r="AD267" s="128"/>
      <c r="AE267" s="128"/>
      <c r="AF267" s="128"/>
      <c r="AG267" s="128"/>
      <c r="AH267" s="128"/>
      <c r="AI267" s="128"/>
      <c r="AJ267" s="128"/>
      <c r="AK267" s="128"/>
      <c r="AL267" s="128"/>
      <c r="AM267" s="128"/>
      <c r="AN267" s="128"/>
      <c r="AO267" s="128"/>
    </row>
    <row r="268" spans="2:41" x14ac:dyDescent="0.2">
      <c r="B268" s="499"/>
      <c r="C268" s="184"/>
      <c r="D268" s="184">
        <v>1</v>
      </c>
      <c r="E268" s="182">
        <v>40739</v>
      </c>
      <c r="F268" s="184">
        <v>1.75</v>
      </c>
      <c r="G268" s="204">
        <f t="shared" si="45"/>
        <v>393.75</v>
      </c>
      <c r="H268" s="218">
        <v>5.2</v>
      </c>
      <c r="I268" s="204">
        <f t="shared" si="47"/>
        <v>13.333333333333334</v>
      </c>
      <c r="J268" s="344">
        <v>0.05</v>
      </c>
      <c r="K268" s="128"/>
      <c r="L268" s="205">
        <f t="shared" si="48"/>
        <v>10400</v>
      </c>
      <c r="M268" s="205">
        <f t="shared" si="49"/>
        <v>7875</v>
      </c>
      <c r="N268" s="207">
        <f t="shared" si="46"/>
        <v>5</v>
      </c>
      <c r="O268" s="128"/>
      <c r="P268" s="128"/>
      <c r="Q268" s="128"/>
      <c r="R268" s="128"/>
      <c r="S268" s="128"/>
      <c r="T268" s="128"/>
      <c r="U268" s="128"/>
      <c r="V268" s="128"/>
      <c r="W268" s="210"/>
      <c r="X268" s="210"/>
      <c r="Y268" s="210"/>
      <c r="Z268" s="210"/>
      <c r="AA268" s="128"/>
      <c r="AB268" s="128"/>
      <c r="AC268" s="128"/>
      <c r="AD268" s="128"/>
      <c r="AE268" s="128"/>
      <c r="AF268" s="128"/>
      <c r="AG268" s="128"/>
      <c r="AH268" s="128"/>
      <c r="AI268" s="128"/>
      <c r="AJ268" s="128"/>
      <c r="AK268" s="128"/>
      <c r="AL268" s="128"/>
      <c r="AM268" s="128"/>
      <c r="AN268" s="128"/>
      <c r="AO268" s="128"/>
    </row>
    <row r="269" spans="2:41" x14ac:dyDescent="0.2">
      <c r="B269" s="499"/>
      <c r="C269" s="184"/>
      <c r="D269" s="184">
        <v>1</v>
      </c>
      <c r="E269" s="182">
        <v>40756</v>
      </c>
      <c r="F269" s="184">
        <v>2</v>
      </c>
      <c r="G269" s="204">
        <f t="shared" si="45"/>
        <v>450</v>
      </c>
      <c r="H269" s="218">
        <v>5.5</v>
      </c>
      <c r="I269" s="204">
        <f t="shared" si="47"/>
        <v>40</v>
      </c>
      <c r="J269" s="344">
        <v>0.05</v>
      </c>
      <c r="K269" s="128"/>
      <c r="L269" s="205">
        <f t="shared" si="48"/>
        <v>11000</v>
      </c>
      <c r="M269" s="205">
        <f t="shared" si="49"/>
        <v>9000</v>
      </c>
      <c r="N269" s="207">
        <f t="shared" si="46"/>
        <v>5</v>
      </c>
      <c r="O269" s="128"/>
      <c r="P269" s="128"/>
      <c r="Q269" s="128"/>
      <c r="R269" s="128"/>
      <c r="S269" s="128"/>
      <c r="T269" s="128"/>
      <c r="U269" s="128"/>
      <c r="V269" s="128"/>
      <c r="W269" s="210"/>
      <c r="X269" s="210"/>
      <c r="Y269" s="210"/>
      <c r="Z269" s="210"/>
      <c r="AA269" s="128"/>
      <c r="AB269" s="128"/>
      <c r="AC269" s="128"/>
      <c r="AD269" s="128"/>
      <c r="AE269" s="128"/>
      <c r="AF269" s="128"/>
      <c r="AG269" s="128"/>
      <c r="AH269" s="128"/>
      <c r="AI269" s="128"/>
      <c r="AJ269" s="128"/>
      <c r="AK269" s="128"/>
      <c r="AL269" s="128"/>
      <c r="AM269" s="128"/>
      <c r="AN269" s="128"/>
      <c r="AO269" s="128"/>
    </row>
    <row r="270" spans="2:41" x14ac:dyDescent="0.2">
      <c r="B270" s="499"/>
      <c r="C270" s="184"/>
      <c r="D270" s="184">
        <v>1</v>
      </c>
      <c r="E270" s="182">
        <v>40770</v>
      </c>
      <c r="F270" s="184">
        <v>2.2000000000000002</v>
      </c>
      <c r="G270" s="204">
        <f t="shared" si="45"/>
        <v>495</v>
      </c>
      <c r="H270" s="218">
        <v>6</v>
      </c>
      <c r="I270" s="204">
        <f t="shared" si="47"/>
        <v>66.666666666666671</v>
      </c>
      <c r="J270" s="344">
        <v>0.05</v>
      </c>
      <c r="K270" s="128"/>
      <c r="L270" s="205">
        <f t="shared" si="48"/>
        <v>12000</v>
      </c>
      <c r="M270" s="205">
        <f t="shared" si="49"/>
        <v>9900</v>
      </c>
      <c r="N270" s="207">
        <f t="shared" si="46"/>
        <v>5</v>
      </c>
      <c r="O270" s="128"/>
      <c r="P270" s="128"/>
      <c r="Q270" s="128"/>
      <c r="R270" s="128"/>
      <c r="S270" s="128"/>
      <c r="T270" s="128"/>
      <c r="U270" s="128"/>
      <c r="V270" s="128"/>
      <c r="W270" s="210"/>
      <c r="X270" s="210"/>
      <c r="Y270" s="210"/>
      <c r="Z270" s="210"/>
      <c r="AA270" s="128"/>
      <c r="AB270" s="128"/>
      <c r="AC270" s="128"/>
      <c r="AD270" s="128"/>
      <c r="AE270" s="128"/>
      <c r="AF270" s="128"/>
      <c r="AG270" s="128"/>
      <c r="AH270" s="128"/>
      <c r="AI270" s="128"/>
      <c r="AJ270" s="128"/>
      <c r="AK270" s="128"/>
      <c r="AL270" s="128"/>
      <c r="AM270" s="128"/>
      <c r="AN270" s="128"/>
      <c r="AO270" s="128"/>
    </row>
    <row r="271" spans="2:41" x14ac:dyDescent="0.2">
      <c r="B271" s="499"/>
      <c r="C271" s="184"/>
      <c r="D271" s="184">
        <v>1</v>
      </c>
      <c r="E271" s="182">
        <v>40787</v>
      </c>
      <c r="F271" s="184">
        <v>2</v>
      </c>
      <c r="G271" s="204">
        <f t="shared" si="45"/>
        <v>450</v>
      </c>
      <c r="H271" s="218">
        <v>6.2</v>
      </c>
      <c r="I271" s="204">
        <f t="shared" si="47"/>
        <v>26.666666666666668</v>
      </c>
      <c r="J271" s="344">
        <v>0.02</v>
      </c>
      <c r="K271" s="128"/>
      <c r="L271" s="205">
        <f t="shared" si="48"/>
        <v>12400</v>
      </c>
      <c r="M271" s="205">
        <f t="shared" si="49"/>
        <v>9000</v>
      </c>
      <c r="N271" s="207">
        <f t="shared" si="46"/>
        <v>2</v>
      </c>
      <c r="O271" s="128"/>
      <c r="P271" s="128"/>
      <c r="Q271" s="128"/>
      <c r="R271" s="128"/>
      <c r="S271" s="128"/>
      <c r="T271" s="128"/>
      <c r="U271" s="128"/>
      <c r="V271" s="128"/>
      <c r="W271" s="210"/>
      <c r="X271" s="210"/>
      <c r="Y271" s="210"/>
      <c r="Z271" s="210"/>
      <c r="AA271" s="128"/>
      <c r="AB271" s="128"/>
      <c r="AC271" s="128"/>
      <c r="AD271" s="128"/>
      <c r="AE271" s="128"/>
      <c r="AF271" s="128"/>
      <c r="AG271" s="128"/>
      <c r="AH271" s="128"/>
      <c r="AI271" s="128"/>
      <c r="AJ271" s="128"/>
      <c r="AK271" s="128"/>
      <c r="AL271" s="128"/>
      <c r="AM271" s="128"/>
      <c r="AN271" s="128"/>
      <c r="AO271" s="128"/>
    </row>
    <row r="272" spans="2:41" x14ac:dyDescent="0.2">
      <c r="B272" s="499"/>
      <c r="C272" s="184"/>
      <c r="D272" s="184">
        <v>1</v>
      </c>
      <c r="E272" s="182">
        <v>40801</v>
      </c>
      <c r="F272" s="184">
        <v>2</v>
      </c>
      <c r="G272" s="204">
        <f t="shared" si="45"/>
        <v>450</v>
      </c>
      <c r="H272" s="218">
        <v>6.5</v>
      </c>
      <c r="I272" s="204">
        <f t="shared" si="47"/>
        <v>40</v>
      </c>
      <c r="J272" s="344">
        <v>0.02</v>
      </c>
      <c r="K272" s="128"/>
      <c r="L272" s="205">
        <f t="shared" si="48"/>
        <v>13000</v>
      </c>
      <c r="M272" s="205">
        <f t="shared" si="49"/>
        <v>9000</v>
      </c>
      <c r="N272" s="207">
        <f t="shared" si="46"/>
        <v>2</v>
      </c>
      <c r="O272" s="128"/>
      <c r="P272" s="128"/>
      <c r="Q272" s="128"/>
      <c r="R272" s="128"/>
      <c r="S272" s="128"/>
      <c r="T272" s="128"/>
      <c r="U272" s="128"/>
      <c r="V272" s="128"/>
      <c r="W272" s="210"/>
      <c r="X272" s="210"/>
      <c r="Y272" s="210"/>
      <c r="Z272" s="210"/>
      <c r="AA272" s="128"/>
      <c r="AB272" s="128"/>
      <c r="AC272" s="128"/>
      <c r="AD272" s="128"/>
      <c r="AE272" s="128"/>
      <c r="AF272" s="128"/>
      <c r="AG272" s="128"/>
      <c r="AH272" s="128"/>
      <c r="AI272" s="128"/>
      <c r="AJ272" s="128"/>
      <c r="AK272" s="128"/>
      <c r="AL272" s="128"/>
      <c r="AM272" s="128"/>
      <c r="AN272" s="128"/>
      <c r="AO272" s="128"/>
    </row>
    <row r="273" spans="2:41" x14ac:dyDescent="0.2">
      <c r="B273" s="499"/>
      <c r="C273" s="184">
        <v>1</v>
      </c>
      <c r="D273" s="184"/>
      <c r="E273" s="182">
        <v>40817</v>
      </c>
      <c r="F273" s="184">
        <v>1.5</v>
      </c>
      <c r="G273" s="204">
        <f t="shared" si="45"/>
        <v>337.5</v>
      </c>
      <c r="H273" s="184">
        <v>6.5</v>
      </c>
      <c r="I273" s="204">
        <f t="shared" si="47"/>
        <v>0</v>
      </c>
      <c r="J273" s="344">
        <v>0</v>
      </c>
      <c r="K273" s="128"/>
      <c r="L273" s="205">
        <f t="shared" si="48"/>
        <v>13000</v>
      </c>
      <c r="M273" s="205">
        <f t="shared" si="49"/>
        <v>6750</v>
      </c>
      <c r="N273" s="207">
        <f t="shared" si="46"/>
        <v>0</v>
      </c>
      <c r="O273" s="128"/>
      <c r="P273" s="128"/>
      <c r="Q273" s="128"/>
      <c r="R273" s="128"/>
      <c r="S273" s="128"/>
      <c r="T273" s="128"/>
      <c r="U273" s="128"/>
      <c r="V273" s="128"/>
      <c r="W273" s="210"/>
      <c r="X273" s="210"/>
      <c r="Y273" s="210"/>
      <c r="Z273" s="210"/>
      <c r="AA273" s="128"/>
      <c r="AB273" s="128"/>
      <c r="AC273" s="128"/>
      <c r="AD273" s="128"/>
      <c r="AE273" s="128"/>
      <c r="AF273" s="128"/>
      <c r="AG273" s="128"/>
      <c r="AH273" s="128"/>
      <c r="AI273" s="128"/>
      <c r="AJ273" s="128"/>
      <c r="AK273" s="128"/>
      <c r="AL273" s="128"/>
      <c r="AM273" s="128"/>
      <c r="AN273" s="128"/>
      <c r="AO273" s="128"/>
    </row>
    <row r="274" spans="2:41" x14ac:dyDescent="0.2">
      <c r="B274" s="499"/>
      <c r="C274" s="184">
        <v>1</v>
      </c>
      <c r="D274" s="184"/>
      <c r="E274" s="182">
        <v>40831</v>
      </c>
      <c r="F274" s="184">
        <v>1.5</v>
      </c>
      <c r="G274" s="204">
        <f t="shared" si="45"/>
        <v>337.5</v>
      </c>
      <c r="H274" s="184">
        <v>6</v>
      </c>
      <c r="I274" s="204">
        <f t="shared" si="47"/>
        <v>-66.666666666666671</v>
      </c>
      <c r="J274" s="344">
        <v>0</v>
      </c>
      <c r="K274" s="128"/>
      <c r="L274" s="205">
        <f t="shared" si="48"/>
        <v>12000</v>
      </c>
      <c r="M274" s="205">
        <f t="shared" si="49"/>
        <v>6750</v>
      </c>
      <c r="N274" s="207">
        <f t="shared" si="46"/>
        <v>0</v>
      </c>
      <c r="O274" s="128"/>
      <c r="P274" s="128"/>
      <c r="Q274" s="128"/>
      <c r="R274" s="128"/>
      <c r="S274" s="128"/>
      <c r="T274" s="128"/>
      <c r="U274" s="128"/>
      <c r="V274" s="128"/>
      <c r="W274" s="210"/>
      <c r="X274" s="210"/>
      <c r="Y274" s="210"/>
      <c r="Z274" s="210"/>
      <c r="AA274" s="128"/>
      <c r="AB274" s="128"/>
      <c r="AC274" s="128"/>
      <c r="AD274" s="128"/>
      <c r="AE274" s="128"/>
      <c r="AF274" s="128"/>
      <c r="AG274" s="128"/>
      <c r="AH274" s="128"/>
      <c r="AI274" s="128"/>
      <c r="AJ274" s="128"/>
      <c r="AK274" s="128"/>
      <c r="AL274" s="128"/>
      <c r="AM274" s="128"/>
      <c r="AN274" s="128"/>
      <c r="AO274" s="128"/>
    </row>
    <row r="275" spans="2:41" x14ac:dyDescent="0.2">
      <c r="B275" s="499"/>
      <c r="C275" s="184">
        <v>1</v>
      </c>
      <c r="D275" s="184"/>
      <c r="E275" s="182">
        <v>40848</v>
      </c>
      <c r="F275" s="184">
        <v>1</v>
      </c>
      <c r="G275" s="204">
        <f t="shared" si="45"/>
        <v>225</v>
      </c>
      <c r="H275" s="184">
        <v>5.5</v>
      </c>
      <c r="I275" s="204">
        <f t="shared" si="47"/>
        <v>-66.666666666666671</v>
      </c>
      <c r="J275" s="344">
        <v>0</v>
      </c>
      <c r="K275" s="128"/>
      <c r="L275" s="205">
        <f t="shared" si="48"/>
        <v>11000</v>
      </c>
      <c r="M275" s="205">
        <f t="shared" si="49"/>
        <v>4500</v>
      </c>
      <c r="N275" s="207">
        <f t="shared" si="46"/>
        <v>0</v>
      </c>
      <c r="O275" s="128"/>
      <c r="P275" s="128"/>
      <c r="Q275" s="128"/>
      <c r="R275" s="128"/>
      <c r="S275" s="128"/>
      <c r="T275" s="128"/>
      <c r="U275" s="128"/>
      <c r="V275" s="128"/>
      <c r="W275" s="210"/>
      <c r="X275" s="210"/>
      <c r="Y275" s="210"/>
      <c r="Z275" s="210"/>
      <c r="AA275" s="128"/>
      <c r="AB275" s="128"/>
      <c r="AC275" s="128"/>
      <c r="AD275" s="128"/>
      <c r="AE275" s="128"/>
      <c r="AF275" s="128"/>
      <c r="AG275" s="128"/>
      <c r="AH275" s="128"/>
      <c r="AI275" s="128"/>
      <c r="AJ275" s="128"/>
      <c r="AK275" s="128"/>
      <c r="AL275" s="128"/>
      <c r="AM275" s="128"/>
      <c r="AN275" s="128"/>
      <c r="AO275" s="128"/>
    </row>
    <row r="276" spans="2:41" x14ac:dyDescent="0.2">
      <c r="B276" s="499"/>
      <c r="C276" s="184">
        <v>1</v>
      </c>
      <c r="D276" s="184"/>
      <c r="E276" s="182">
        <v>40862</v>
      </c>
      <c r="F276" s="184">
        <v>0</v>
      </c>
      <c r="G276" s="204">
        <f t="shared" si="45"/>
        <v>0</v>
      </c>
      <c r="H276" s="184">
        <v>5</v>
      </c>
      <c r="I276" s="204">
        <f t="shared" si="47"/>
        <v>-66.666666666666671</v>
      </c>
      <c r="J276" s="344">
        <v>0</v>
      </c>
      <c r="K276" s="128"/>
      <c r="L276" s="205">
        <f t="shared" si="48"/>
        <v>10000</v>
      </c>
      <c r="M276" s="205">
        <f t="shared" si="49"/>
        <v>0</v>
      </c>
      <c r="N276" s="207">
        <f t="shared" si="46"/>
        <v>0</v>
      </c>
      <c r="O276" s="128"/>
      <c r="P276" s="128"/>
      <c r="Q276" s="128"/>
      <c r="R276" s="128"/>
      <c r="S276" s="128"/>
      <c r="T276" s="128"/>
      <c r="U276" s="128"/>
      <c r="V276" s="128"/>
      <c r="W276" s="210"/>
      <c r="X276" s="210"/>
      <c r="Y276" s="210"/>
      <c r="Z276" s="210"/>
      <c r="AA276" s="128"/>
      <c r="AB276" s="128"/>
      <c r="AC276" s="128"/>
      <c r="AD276" s="128"/>
      <c r="AE276" s="128"/>
      <c r="AF276" s="128"/>
      <c r="AG276" s="128"/>
      <c r="AH276" s="128"/>
      <c r="AI276" s="128"/>
      <c r="AJ276" s="128"/>
      <c r="AK276" s="128"/>
      <c r="AL276" s="128"/>
      <c r="AM276" s="128"/>
      <c r="AN276" s="128"/>
      <c r="AO276" s="128"/>
    </row>
    <row r="277" spans="2:41" x14ac:dyDescent="0.2">
      <c r="B277" s="499"/>
      <c r="C277" s="184">
        <v>1</v>
      </c>
      <c r="D277" s="184"/>
      <c r="E277" s="182">
        <v>40878</v>
      </c>
      <c r="F277" s="184">
        <v>0</v>
      </c>
      <c r="G277" s="204">
        <f t="shared" si="45"/>
        <v>0</v>
      </c>
      <c r="H277" s="184">
        <v>5</v>
      </c>
      <c r="I277" s="204">
        <f t="shared" si="47"/>
        <v>0</v>
      </c>
      <c r="J277" s="344">
        <v>0</v>
      </c>
      <c r="K277" s="128"/>
      <c r="L277" s="205">
        <f t="shared" si="48"/>
        <v>10000</v>
      </c>
      <c r="M277" s="205">
        <f t="shared" si="49"/>
        <v>0</v>
      </c>
      <c r="N277" s="207">
        <f t="shared" si="46"/>
        <v>0</v>
      </c>
      <c r="O277" s="128"/>
      <c r="P277" s="128"/>
      <c r="Q277" s="128"/>
      <c r="R277" s="128"/>
      <c r="S277" s="128"/>
      <c r="T277" s="128"/>
      <c r="U277" s="128"/>
      <c r="V277" s="128"/>
      <c r="W277" s="210"/>
      <c r="X277" s="210"/>
      <c r="Y277" s="210"/>
      <c r="Z277" s="210"/>
      <c r="AA277" s="128"/>
      <c r="AB277" s="128"/>
      <c r="AC277" s="128"/>
      <c r="AD277" s="128"/>
      <c r="AE277" s="128"/>
      <c r="AF277" s="128"/>
      <c r="AG277" s="128"/>
      <c r="AH277" s="128"/>
      <c r="AI277" s="128"/>
      <c r="AJ277" s="128"/>
      <c r="AK277" s="128"/>
      <c r="AL277" s="128"/>
      <c r="AM277" s="128"/>
      <c r="AN277" s="128"/>
      <c r="AO277" s="128"/>
    </row>
    <row r="278" spans="2:41" x14ac:dyDescent="0.2">
      <c r="B278" s="500"/>
      <c r="C278" s="184">
        <v>1</v>
      </c>
      <c r="D278" s="184"/>
      <c r="E278" s="182">
        <v>40892</v>
      </c>
      <c r="F278" s="184">
        <v>0</v>
      </c>
      <c r="G278" s="209">
        <f t="shared" si="45"/>
        <v>0</v>
      </c>
      <c r="H278" s="184">
        <v>5</v>
      </c>
      <c r="I278" s="204">
        <f t="shared" si="47"/>
        <v>0</v>
      </c>
      <c r="J278" s="344">
        <v>0</v>
      </c>
      <c r="K278" s="128"/>
      <c r="L278" s="205">
        <f t="shared" si="48"/>
        <v>10000</v>
      </c>
      <c r="M278" s="205">
        <f t="shared" si="49"/>
        <v>0</v>
      </c>
      <c r="N278" s="207">
        <f t="shared" si="46"/>
        <v>0</v>
      </c>
      <c r="O278" s="128"/>
      <c r="P278" s="128"/>
      <c r="Q278" s="128"/>
      <c r="R278" s="128"/>
      <c r="S278" s="128"/>
      <c r="T278" s="128"/>
      <c r="U278" s="128"/>
      <c r="V278" s="128"/>
      <c r="W278" s="210"/>
      <c r="X278" s="210"/>
      <c r="Y278" s="210"/>
      <c r="Z278" s="210"/>
      <c r="AA278" s="128"/>
      <c r="AB278" s="128"/>
      <c r="AC278" s="128"/>
      <c r="AD278" s="128"/>
      <c r="AE278" s="128"/>
      <c r="AF278" s="128"/>
      <c r="AG278" s="128"/>
      <c r="AH278" s="128"/>
      <c r="AI278" s="128"/>
      <c r="AJ278" s="128"/>
      <c r="AK278" s="128"/>
      <c r="AL278" s="128"/>
      <c r="AM278" s="128"/>
      <c r="AN278" s="128"/>
      <c r="AO278" s="128"/>
    </row>
    <row r="279" spans="2:41" x14ac:dyDescent="0.2">
      <c r="B279" s="128"/>
      <c r="C279" s="128"/>
      <c r="D279" s="176"/>
      <c r="E279" s="321">
        <v>43100</v>
      </c>
      <c r="F279" s="306">
        <f>G255</f>
        <v>0</v>
      </c>
      <c r="G279" s="306">
        <f>H255</f>
        <v>5</v>
      </c>
      <c r="H279" s="306">
        <f>I255</f>
        <v>0</v>
      </c>
      <c r="I279" s="306">
        <f>J255</f>
        <v>0</v>
      </c>
      <c r="J279" s="341">
        <f>K255</f>
        <v>0</v>
      </c>
      <c r="K279" s="306"/>
      <c r="L279" s="306">
        <f>M255</f>
        <v>0</v>
      </c>
      <c r="M279" s="306">
        <f>N255</f>
        <v>0</v>
      </c>
      <c r="N279" s="322">
        <f>O255</f>
        <v>0</v>
      </c>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row>
    <row r="280" spans="2:41" x14ac:dyDescent="0.2">
      <c r="B280" s="128"/>
      <c r="C280" s="128"/>
      <c r="D280" s="176"/>
      <c r="E280" s="128"/>
      <c r="F280" s="128"/>
      <c r="G280" s="128"/>
      <c r="H280" s="128"/>
      <c r="I280" s="128"/>
      <c r="J280" s="335"/>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row>
    <row r="281" spans="2:41" x14ac:dyDescent="0.2">
      <c r="B281" s="128"/>
      <c r="C281" s="128"/>
      <c r="D281" s="176"/>
      <c r="E281" s="128"/>
      <c r="F281" s="128"/>
      <c r="G281" s="128"/>
      <c r="H281" s="128"/>
      <c r="I281" s="128"/>
      <c r="J281" s="335"/>
      <c r="K281" s="214"/>
      <c r="L281" s="214"/>
      <c r="M281" s="214"/>
      <c r="N281" s="214"/>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row>
    <row r="282" spans="2:41" x14ac:dyDescent="0.2">
      <c r="B282" s="128"/>
      <c r="C282" s="128"/>
      <c r="D282" s="219"/>
      <c r="E282" s="214"/>
      <c r="F282" s="214"/>
      <c r="G282" s="214"/>
      <c r="H282" s="214"/>
      <c r="I282" s="128"/>
      <c r="J282" s="335"/>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row>
    <row r="283" spans="2:41" x14ac:dyDescent="0.2">
      <c r="B283" s="128"/>
      <c r="C283" s="128"/>
      <c r="D283" s="220"/>
      <c r="E283" s="208"/>
      <c r="F283" s="208"/>
      <c r="G283" s="208"/>
      <c r="H283" s="208"/>
      <c r="I283" s="128"/>
      <c r="J283" s="335"/>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row>
    <row r="284" spans="2:41" x14ac:dyDescent="0.2">
      <c r="B284" s="128"/>
      <c r="C284" s="128"/>
      <c r="D284" s="176"/>
      <c r="E284" s="128"/>
      <c r="F284" s="128"/>
      <c r="G284" s="128"/>
      <c r="H284" s="128"/>
      <c r="I284" s="128"/>
      <c r="J284" s="335"/>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row>
    <row r="285" spans="2:41" x14ac:dyDescent="0.2">
      <c r="B285" s="128"/>
      <c r="C285" s="128"/>
      <c r="D285" s="128"/>
      <c r="E285" s="128"/>
      <c r="F285" s="128"/>
      <c r="G285" s="128"/>
      <c r="H285" s="128"/>
      <c r="I285" s="128"/>
      <c r="J285" s="335"/>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row>
    <row r="286" spans="2:41" x14ac:dyDescent="0.2">
      <c r="B286" s="128"/>
      <c r="C286" s="128"/>
      <c r="D286" s="214"/>
      <c r="E286" s="214"/>
      <c r="F286" s="214"/>
      <c r="G286" s="214"/>
      <c r="H286" s="214"/>
      <c r="I286" s="128"/>
      <c r="J286" s="335"/>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row>
    <row r="287" spans="2:41" x14ac:dyDescent="0.2">
      <c r="B287" s="128"/>
      <c r="C287" s="128"/>
      <c r="D287" s="208"/>
      <c r="E287" s="208"/>
      <c r="F287" s="208"/>
      <c r="G287" s="208"/>
      <c r="H287" s="208"/>
      <c r="I287" s="128"/>
      <c r="J287" s="335"/>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row>
    <row r="288" spans="2:41" x14ac:dyDescent="0.2">
      <c r="B288" s="128"/>
      <c r="C288" s="128"/>
      <c r="D288" s="176"/>
      <c r="E288" s="128"/>
      <c r="F288" s="128"/>
      <c r="G288" s="128"/>
      <c r="H288" s="128"/>
      <c r="I288" s="128"/>
      <c r="J288" s="335"/>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row>
    <row r="289" spans="2:41" x14ac:dyDescent="0.2">
      <c r="B289" s="128"/>
      <c r="C289" s="128"/>
      <c r="D289" s="176"/>
      <c r="E289" s="128"/>
      <c r="F289" s="128"/>
      <c r="G289" s="128"/>
      <c r="H289" s="128"/>
      <c r="I289" s="128"/>
      <c r="J289" s="335"/>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row>
    <row r="290" spans="2:41" x14ac:dyDescent="0.2">
      <c r="B290" s="128"/>
      <c r="C290" s="128"/>
      <c r="D290" s="176"/>
      <c r="E290" s="128"/>
      <c r="F290" s="128"/>
      <c r="G290" s="128"/>
      <c r="H290" s="128"/>
      <c r="I290" s="128"/>
      <c r="J290" s="335"/>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row>
    <row r="291" spans="2:41" x14ac:dyDescent="0.2">
      <c r="B291" s="128"/>
      <c r="C291" s="128"/>
      <c r="D291" s="176"/>
      <c r="E291" s="128"/>
      <c r="F291" s="128"/>
      <c r="G291" s="128"/>
      <c r="H291" s="128"/>
      <c r="I291" s="128"/>
      <c r="J291" s="335"/>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row>
    <row r="292" spans="2:41" x14ac:dyDescent="0.2">
      <c r="B292" s="128"/>
      <c r="C292" s="128"/>
      <c r="D292" s="176"/>
      <c r="E292" s="128"/>
      <c r="F292" s="128"/>
      <c r="G292" s="128"/>
      <c r="H292" s="128"/>
      <c r="I292" s="128"/>
      <c r="J292" s="335"/>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row>
    <row r="293" spans="2:41" x14ac:dyDescent="0.2">
      <c r="B293" s="128"/>
      <c r="C293" s="128"/>
      <c r="D293" s="176"/>
      <c r="E293" s="128"/>
      <c r="F293" s="128"/>
      <c r="G293" s="128"/>
      <c r="H293" s="128"/>
      <c r="I293" s="128"/>
      <c r="J293" s="335"/>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row>
    <row r="294" spans="2:41" x14ac:dyDescent="0.2">
      <c r="B294" s="128"/>
      <c r="C294" s="128"/>
      <c r="D294" s="176"/>
      <c r="E294" s="128"/>
      <c r="F294" s="128"/>
      <c r="G294" s="128"/>
      <c r="H294" s="128"/>
      <c r="I294" s="128"/>
      <c r="J294" s="335"/>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row>
    <row r="295" spans="2:41" x14ac:dyDescent="0.2">
      <c r="B295" s="128"/>
      <c r="C295" s="128"/>
      <c r="D295" s="176"/>
      <c r="E295" s="128"/>
      <c r="F295" s="128"/>
      <c r="G295" s="128"/>
      <c r="H295" s="128"/>
      <c r="I295" s="128"/>
      <c r="J295" s="335"/>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row>
    <row r="296" spans="2:41" x14ac:dyDescent="0.2">
      <c r="B296" s="128"/>
      <c r="C296" s="128"/>
      <c r="D296" s="176"/>
      <c r="E296" s="128"/>
      <c r="F296" s="128"/>
      <c r="G296" s="128"/>
      <c r="H296" s="128"/>
      <c r="I296" s="128"/>
      <c r="J296" s="33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row>
    <row r="297" spans="2:41" x14ac:dyDescent="0.2">
      <c r="B297" s="128"/>
      <c r="C297" s="128"/>
      <c r="D297" s="176"/>
      <c r="E297" s="128"/>
      <c r="F297" s="128"/>
      <c r="G297" s="128"/>
      <c r="H297" s="128"/>
      <c r="I297" s="128"/>
      <c r="J297" s="3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row>
    <row r="298" spans="2:41" x14ac:dyDescent="0.2">
      <c r="B298" s="128"/>
      <c r="C298" s="128"/>
      <c r="D298" s="176"/>
      <c r="E298" s="128"/>
      <c r="F298" s="128"/>
      <c r="G298" s="128"/>
      <c r="H298" s="128"/>
      <c r="I298" s="128"/>
      <c r="J298" s="3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row>
    <row r="299" spans="2:41" x14ac:dyDescent="0.2">
      <c r="B299" s="128"/>
      <c r="C299" s="128"/>
      <c r="D299" s="176"/>
      <c r="E299" s="128"/>
      <c r="F299" s="128"/>
      <c r="G299" s="128"/>
      <c r="H299" s="128"/>
      <c r="I299" s="128"/>
      <c r="J299" s="3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row>
    <row r="300" spans="2:41" x14ac:dyDescent="0.2">
      <c r="B300" s="128"/>
      <c r="C300" s="128"/>
      <c r="D300" s="176"/>
      <c r="E300" s="128"/>
      <c r="F300" s="128"/>
      <c r="G300" s="128"/>
      <c r="H300" s="128"/>
      <c r="I300" s="128"/>
      <c r="J300" s="3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row>
    <row r="301" spans="2:41" x14ac:dyDescent="0.2">
      <c r="B301" s="128"/>
      <c r="C301" s="128"/>
      <c r="D301" s="176"/>
      <c r="E301" s="128"/>
      <c r="F301" s="128"/>
      <c r="G301" s="128"/>
      <c r="H301" s="128"/>
      <c r="I301" s="128"/>
      <c r="J301" s="3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row>
    <row r="302" spans="2:41" x14ac:dyDescent="0.2">
      <c r="B302" s="128"/>
      <c r="C302" s="128"/>
      <c r="D302" s="176"/>
      <c r="E302" s="128"/>
      <c r="F302" s="128"/>
      <c r="G302" s="128"/>
      <c r="H302" s="128"/>
      <c r="I302" s="128"/>
      <c r="J302" s="3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row>
    <row r="303" spans="2:41" x14ac:dyDescent="0.2">
      <c r="B303" s="128"/>
      <c r="C303" s="128"/>
      <c r="D303" s="176"/>
      <c r="E303" s="128"/>
      <c r="F303" s="128"/>
      <c r="G303" s="128"/>
      <c r="H303" s="128"/>
      <c r="I303" s="128"/>
      <c r="J303" s="3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row>
    <row r="304" spans="2:41" x14ac:dyDescent="0.2">
      <c r="B304" s="128"/>
      <c r="C304" s="128"/>
      <c r="D304" s="176"/>
      <c r="E304" s="128"/>
      <c r="F304" s="128"/>
      <c r="G304" s="128"/>
      <c r="H304" s="128"/>
      <c r="I304" s="128"/>
      <c r="J304" s="3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row>
    <row r="305" spans="2:41" x14ac:dyDescent="0.2">
      <c r="B305" s="128"/>
      <c r="C305" s="128"/>
      <c r="D305" s="176"/>
      <c r="E305" s="128"/>
      <c r="F305" s="128"/>
      <c r="G305" s="128"/>
      <c r="H305" s="128"/>
      <c r="I305" s="128"/>
      <c r="J305" s="3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row>
    <row r="306" spans="2:41" x14ac:dyDescent="0.2">
      <c r="B306" s="128"/>
      <c r="C306" s="128"/>
      <c r="D306" s="176"/>
      <c r="E306" s="128"/>
      <c r="F306" s="128"/>
      <c r="G306" s="128"/>
      <c r="H306" s="128"/>
      <c r="I306" s="128"/>
      <c r="J306" s="3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row>
    <row r="307" spans="2:41" x14ac:dyDescent="0.2">
      <c r="B307" s="128"/>
      <c r="C307" s="128"/>
      <c r="D307" s="176"/>
      <c r="E307" s="128"/>
      <c r="F307" s="128"/>
      <c r="G307" s="128"/>
      <c r="H307" s="128"/>
      <c r="I307" s="128"/>
      <c r="J307" s="3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row>
    <row r="308" spans="2:41" x14ac:dyDescent="0.2">
      <c r="B308" s="128"/>
      <c r="C308" s="128"/>
      <c r="D308" s="176"/>
      <c r="E308" s="128"/>
      <c r="F308" s="128"/>
      <c r="G308" s="128"/>
      <c r="H308" s="128"/>
      <c r="I308" s="128"/>
      <c r="J308" s="3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row>
    <row r="309" spans="2:41" x14ac:dyDescent="0.2">
      <c r="B309" s="128"/>
      <c r="C309" s="128"/>
      <c r="D309" s="176"/>
      <c r="E309" s="128"/>
      <c r="F309" s="128"/>
      <c r="G309" s="128"/>
      <c r="H309" s="128"/>
      <c r="I309" s="128"/>
      <c r="J309" s="3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row>
    <row r="310" spans="2:41" x14ac:dyDescent="0.2">
      <c r="B310" s="128"/>
      <c r="C310" s="128"/>
      <c r="D310" s="176"/>
      <c r="E310" s="128"/>
      <c r="F310" s="128"/>
      <c r="G310" s="128"/>
      <c r="H310" s="128"/>
      <c r="I310" s="128"/>
      <c r="J310" s="3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row>
    <row r="311" spans="2:41" x14ac:dyDescent="0.2">
      <c r="B311" s="128"/>
      <c r="C311" s="128"/>
      <c r="D311" s="176"/>
      <c r="E311" s="128"/>
      <c r="F311" s="128"/>
      <c r="G311" s="128"/>
      <c r="H311" s="128"/>
      <c r="I311" s="128"/>
      <c r="J311" s="3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row>
    <row r="312" spans="2:41" x14ac:dyDescent="0.2">
      <c r="B312" s="128"/>
      <c r="C312" s="128"/>
      <c r="D312" s="176"/>
      <c r="E312" s="128"/>
      <c r="F312" s="128"/>
      <c r="G312" s="128"/>
      <c r="H312" s="128"/>
      <c r="I312" s="128"/>
      <c r="J312" s="3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row>
    <row r="313" spans="2:41" x14ac:dyDescent="0.2">
      <c r="B313" s="128"/>
      <c r="C313" s="128"/>
      <c r="D313" s="176"/>
      <c r="E313" s="128"/>
      <c r="F313" s="128"/>
      <c r="G313" s="128"/>
      <c r="H313" s="128"/>
      <c r="I313" s="128"/>
      <c r="J313" s="3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row>
    <row r="314" spans="2:41" x14ac:dyDescent="0.2">
      <c r="B314" s="128"/>
      <c r="C314" s="128"/>
      <c r="D314" s="176"/>
      <c r="E314" s="128"/>
      <c r="F314" s="128"/>
      <c r="G314" s="128"/>
      <c r="H314" s="128"/>
      <c r="I314" s="128"/>
      <c r="J314" s="3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row>
    <row r="315" spans="2:41" x14ac:dyDescent="0.2">
      <c r="B315" s="128"/>
      <c r="C315" s="128"/>
      <c r="D315" s="176"/>
      <c r="E315" s="128"/>
      <c r="F315" s="128"/>
      <c r="G315" s="128"/>
      <c r="H315" s="128"/>
      <c r="I315" s="128"/>
      <c r="J315" s="3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row>
    <row r="316" spans="2:41" x14ac:dyDescent="0.2">
      <c r="B316" s="128"/>
      <c r="C316" s="128"/>
      <c r="D316" s="176"/>
      <c r="E316" s="128"/>
      <c r="F316" s="128"/>
      <c r="G316" s="128"/>
      <c r="H316" s="128"/>
      <c r="I316" s="128"/>
      <c r="J316" s="3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row>
    <row r="317" spans="2:41" x14ac:dyDescent="0.2">
      <c r="B317" s="128"/>
      <c r="C317" s="128"/>
      <c r="D317" s="176"/>
      <c r="E317" s="128"/>
      <c r="F317" s="128"/>
      <c r="G317" s="128"/>
      <c r="H317" s="128"/>
      <c r="I317" s="128"/>
      <c r="J317" s="3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row>
    <row r="318" spans="2:41" x14ac:dyDescent="0.2">
      <c r="B318" s="128"/>
      <c r="C318" s="128"/>
      <c r="D318" s="176"/>
      <c r="E318" s="128"/>
      <c r="F318" s="128"/>
      <c r="G318" s="128"/>
      <c r="H318" s="128"/>
      <c r="I318" s="128"/>
      <c r="J318" s="3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row>
    <row r="319" spans="2:41" x14ac:dyDescent="0.2">
      <c r="B319" s="128"/>
      <c r="C319" s="128"/>
      <c r="D319" s="176"/>
      <c r="E319" s="128"/>
      <c r="F319" s="128"/>
      <c r="G319" s="128"/>
      <c r="H319" s="128"/>
      <c r="I319" s="128"/>
      <c r="J319" s="3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row>
    <row r="320" spans="2:41" x14ac:dyDescent="0.2">
      <c r="B320" s="128"/>
      <c r="C320" s="128"/>
      <c r="D320" s="176"/>
      <c r="E320" s="128"/>
      <c r="F320" s="128"/>
      <c r="G320" s="128"/>
      <c r="H320" s="128"/>
      <c r="I320" s="128"/>
      <c r="J320" s="3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row>
    <row r="321" spans="2:41" x14ac:dyDescent="0.2">
      <c r="B321" s="128"/>
      <c r="C321" s="128"/>
      <c r="D321" s="176"/>
      <c r="E321" s="128"/>
      <c r="F321" s="128"/>
      <c r="G321" s="128"/>
      <c r="H321" s="128"/>
      <c r="I321" s="128"/>
      <c r="J321" s="3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row>
    <row r="322" spans="2:41" x14ac:dyDescent="0.2">
      <c r="B322" s="128"/>
      <c r="C322" s="128"/>
      <c r="D322" s="176"/>
      <c r="E322" s="128"/>
      <c r="F322" s="128"/>
      <c r="G322" s="128"/>
      <c r="H322" s="128"/>
      <c r="I322" s="128"/>
      <c r="J322" s="3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row>
    <row r="323" spans="2:41" x14ac:dyDescent="0.2">
      <c r="B323" s="128"/>
      <c r="C323" s="128"/>
      <c r="D323" s="176"/>
      <c r="E323" s="128"/>
      <c r="F323" s="128"/>
      <c r="G323" s="128"/>
      <c r="H323" s="128"/>
      <c r="I323" s="128"/>
      <c r="J323" s="3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row>
    <row r="324" spans="2:41" x14ac:dyDescent="0.2">
      <c r="B324" s="128"/>
      <c r="C324" s="128"/>
      <c r="D324" s="176"/>
      <c r="E324" s="128"/>
      <c r="F324" s="128"/>
      <c r="G324" s="128"/>
      <c r="H324" s="128"/>
      <c r="I324" s="128"/>
      <c r="J324" s="3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row>
    <row r="325" spans="2:41" x14ac:dyDescent="0.2">
      <c r="B325" s="128"/>
      <c r="C325" s="128"/>
      <c r="D325" s="176"/>
      <c r="E325" s="128"/>
      <c r="F325" s="128"/>
      <c r="G325" s="128"/>
      <c r="H325" s="128"/>
      <c r="I325" s="128"/>
      <c r="J325" s="3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row>
    <row r="326" spans="2:41" x14ac:dyDescent="0.2">
      <c r="B326" s="128"/>
      <c r="C326" s="128"/>
      <c r="D326" s="176"/>
      <c r="E326" s="128"/>
      <c r="F326" s="128"/>
      <c r="G326" s="128"/>
      <c r="H326" s="128"/>
      <c r="I326" s="128"/>
      <c r="J326" s="3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row>
    <row r="327" spans="2:41" x14ac:dyDescent="0.2">
      <c r="B327" s="128"/>
      <c r="C327" s="128"/>
      <c r="D327" s="176"/>
      <c r="E327" s="128"/>
      <c r="F327" s="128"/>
      <c r="G327" s="128"/>
      <c r="H327" s="128"/>
      <c r="I327" s="128"/>
      <c r="J327" s="3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row>
    <row r="328" spans="2:41" x14ac:dyDescent="0.2">
      <c r="B328" s="128"/>
      <c r="C328" s="128"/>
      <c r="D328" s="176"/>
      <c r="E328" s="128"/>
      <c r="F328" s="128"/>
      <c r="G328" s="128"/>
      <c r="H328" s="128"/>
      <c r="I328" s="128"/>
      <c r="J328" s="3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row>
    <row r="329" spans="2:41" x14ac:dyDescent="0.2">
      <c r="B329" s="128"/>
      <c r="C329" s="128"/>
      <c r="D329" s="176"/>
      <c r="E329" s="128"/>
      <c r="F329" s="128"/>
      <c r="G329" s="128"/>
      <c r="H329" s="128"/>
      <c r="I329" s="128"/>
      <c r="J329" s="3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row>
    <row r="330" spans="2:41" x14ac:dyDescent="0.2">
      <c r="B330" s="128"/>
      <c r="C330" s="128"/>
      <c r="D330" s="176"/>
      <c r="E330" s="128"/>
      <c r="F330" s="128"/>
      <c r="G330" s="128"/>
      <c r="H330" s="128"/>
      <c r="I330" s="128"/>
      <c r="J330" s="3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row>
    <row r="331" spans="2:41" x14ac:dyDescent="0.2">
      <c r="B331" s="128"/>
      <c r="C331" s="128"/>
      <c r="D331" s="176"/>
      <c r="E331" s="128"/>
      <c r="F331" s="128"/>
      <c r="G331" s="128"/>
      <c r="H331" s="128"/>
      <c r="I331" s="128"/>
      <c r="J331" s="3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row>
    <row r="332" spans="2:41" x14ac:dyDescent="0.2">
      <c r="B332" s="128"/>
      <c r="C332" s="128"/>
      <c r="D332" s="176"/>
      <c r="E332" s="128"/>
      <c r="F332" s="128"/>
      <c r="G332" s="128"/>
      <c r="H332" s="128"/>
      <c r="I332" s="128"/>
      <c r="J332" s="3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row>
    <row r="333" spans="2:41" x14ac:dyDescent="0.2">
      <c r="B333" s="128"/>
      <c r="C333" s="128"/>
      <c r="D333" s="176"/>
      <c r="E333" s="128"/>
      <c r="F333" s="128"/>
      <c r="G333" s="128"/>
      <c r="H333" s="128"/>
      <c r="I333" s="128"/>
      <c r="J333" s="3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row>
    <row r="334" spans="2:41" x14ac:dyDescent="0.2">
      <c r="B334" s="128"/>
      <c r="C334" s="128"/>
      <c r="D334" s="176"/>
      <c r="E334" s="128"/>
      <c r="F334" s="128"/>
      <c r="G334" s="128"/>
      <c r="H334" s="128"/>
      <c r="I334" s="128"/>
      <c r="J334" s="3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row>
    <row r="335" spans="2:41" x14ac:dyDescent="0.2">
      <c r="B335" s="128"/>
      <c r="C335" s="128"/>
      <c r="D335" s="176"/>
      <c r="E335" s="128"/>
      <c r="F335" s="128"/>
      <c r="G335" s="128"/>
      <c r="H335" s="128"/>
      <c r="I335" s="128"/>
      <c r="J335" s="3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row>
    <row r="336" spans="2:41" x14ac:dyDescent="0.2">
      <c r="B336" s="128"/>
      <c r="C336" s="128"/>
      <c r="D336" s="176"/>
      <c r="E336" s="128"/>
      <c r="F336" s="128"/>
      <c r="G336" s="128"/>
      <c r="H336" s="128"/>
      <c r="I336" s="128"/>
      <c r="J336" s="3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row>
    <row r="337" spans="2:41" x14ac:dyDescent="0.2">
      <c r="B337" s="128"/>
      <c r="C337" s="128"/>
      <c r="D337" s="176"/>
      <c r="E337" s="128"/>
      <c r="F337" s="128"/>
      <c r="G337" s="128"/>
      <c r="H337" s="128"/>
      <c r="I337" s="128"/>
      <c r="J337" s="3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row>
    <row r="338" spans="2:41" x14ac:dyDescent="0.2">
      <c r="B338" s="128"/>
      <c r="C338" s="128"/>
      <c r="D338" s="176"/>
      <c r="E338" s="128"/>
      <c r="F338" s="128"/>
      <c r="G338" s="128"/>
      <c r="H338" s="128"/>
      <c r="I338" s="128"/>
      <c r="J338" s="3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row>
    <row r="339" spans="2:41" x14ac:dyDescent="0.2">
      <c r="B339" s="128"/>
      <c r="C339" s="128"/>
      <c r="D339" s="176"/>
      <c r="E339" s="128"/>
      <c r="F339" s="128"/>
      <c r="G339" s="128"/>
      <c r="H339" s="128"/>
      <c r="I339" s="128"/>
      <c r="J339" s="3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row>
    <row r="340" spans="2:41" x14ac:dyDescent="0.2">
      <c r="B340" s="128"/>
      <c r="C340" s="128"/>
      <c r="D340" s="176"/>
      <c r="E340" s="128"/>
      <c r="F340" s="128"/>
      <c r="G340" s="128"/>
      <c r="H340" s="128"/>
      <c r="I340" s="128"/>
      <c r="J340" s="3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row>
    <row r="341" spans="2:41" x14ac:dyDescent="0.2">
      <c r="B341" s="128"/>
      <c r="C341" s="128"/>
      <c r="D341" s="176"/>
      <c r="E341" s="128"/>
      <c r="F341" s="128"/>
      <c r="G341" s="128"/>
      <c r="H341" s="128"/>
      <c r="I341" s="128"/>
      <c r="J341" s="3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row>
    <row r="342" spans="2:41" x14ac:dyDescent="0.2">
      <c r="B342" s="128"/>
      <c r="C342" s="128"/>
      <c r="D342" s="176"/>
      <c r="E342" s="128"/>
      <c r="F342" s="128"/>
      <c r="G342" s="128"/>
      <c r="H342" s="128"/>
      <c r="I342" s="128"/>
      <c r="J342" s="3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row>
    <row r="343" spans="2:41" x14ac:dyDescent="0.2">
      <c r="B343" s="128"/>
      <c r="C343" s="128"/>
      <c r="D343" s="176"/>
      <c r="E343" s="128"/>
      <c r="F343" s="128"/>
      <c r="G343" s="128"/>
      <c r="H343" s="128"/>
      <c r="I343" s="128"/>
      <c r="J343" s="3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row>
    <row r="344" spans="2:41" x14ac:dyDescent="0.2">
      <c r="B344" s="128"/>
      <c r="C344" s="128"/>
      <c r="D344" s="176"/>
      <c r="E344" s="128"/>
      <c r="F344" s="128"/>
      <c r="G344" s="128"/>
      <c r="H344" s="128"/>
      <c r="I344" s="128"/>
      <c r="J344" s="3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row>
    <row r="345" spans="2:41" x14ac:dyDescent="0.2">
      <c r="B345" s="128"/>
      <c r="C345" s="128"/>
      <c r="D345" s="176"/>
      <c r="E345" s="128"/>
      <c r="F345" s="128"/>
      <c r="G345" s="128"/>
      <c r="H345" s="128"/>
      <c r="I345" s="128"/>
      <c r="J345" s="3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row>
    <row r="346" spans="2:41" x14ac:dyDescent="0.2">
      <c r="B346" s="128"/>
      <c r="C346" s="128"/>
      <c r="D346" s="176"/>
      <c r="E346" s="128"/>
      <c r="F346" s="128"/>
      <c r="G346" s="128"/>
      <c r="H346" s="128"/>
      <c r="I346" s="128"/>
      <c r="J346" s="3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row>
    <row r="347" spans="2:41" x14ac:dyDescent="0.2">
      <c r="B347" s="128"/>
      <c r="C347" s="128"/>
      <c r="D347" s="176"/>
      <c r="E347" s="128"/>
      <c r="F347" s="128"/>
      <c r="G347" s="128"/>
      <c r="H347" s="128"/>
      <c r="I347" s="128"/>
      <c r="J347" s="3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row>
    <row r="348" spans="2:41" x14ac:dyDescent="0.2">
      <c r="B348" s="128"/>
      <c r="C348" s="128"/>
      <c r="D348" s="176"/>
      <c r="E348" s="128"/>
      <c r="F348" s="128"/>
      <c r="G348" s="128"/>
      <c r="H348" s="128"/>
      <c r="I348" s="128"/>
      <c r="J348" s="3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row>
    <row r="349" spans="2:41" x14ac:dyDescent="0.2">
      <c r="B349" s="128"/>
      <c r="C349" s="128"/>
      <c r="D349" s="176"/>
      <c r="E349" s="128"/>
      <c r="F349" s="128"/>
      <c r="G349" s="128"/>
      <c r="H349" s="128"/>
      <c r="I349" s="128"/>
      <c r="J349" s="3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row>
    <row r="350" spans="2:41" x14ac:dyDescent="0.2">
      <c r="B350" s="128"/>
      <c r="C350" s="128"/>
      <c r="D350" s="176"/>
      <c r="E350" s="128"/>
      <c r="F350" s="128"/>
      <c r="G350" s="128"/>
      <c r="H350" s="128"/>
      <c r="I350" s="128"/>
      <c r="J350" s="3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row>
    <row r="351" spans="2:41" x14ac:dyDescent="0.2">
      <c r="B351" s="128"/>
      <c r="C351" s="128"/>
      <c r="D351" s="176"/>
      <c r="E351" s="128"/>
      <c r="F351" s="128"/>
      <c r="G351" s="128"/>
      <c r="H351" s="128"/>
      <c r="I351" s="128"/>
      <c r="J351" s="3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row>
    <row r="352" spans="2:41" x14ac:dyDescent="0.2">
      <c r="B352" s="128"/>
      <c r="C352" s="128"/>
      <c r="D352" s="176"/>
      <c r="E352" s="128"/>
      <c r="F352" s="128"/>
      <c r="G352" s="128"/>
      <c r="H352" s="128"/>
      <c r="I352" s="128"/>
      <c r="J352" s="3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row>
    <row r="353" spans="2:41" x14ac:dyDescent="0.2">
      <c r="B353" s="128"/>
      <c r="C353" s="128"/>
      <c r="D353" s="176"/>
      <c r="E353" s="128"/>
      <c r="F353" s="128"/>
      <c r="G353" s="128"/>
      <c r="H353" s="128"/>
      <c r="I353" s="128"/>
      <c r="J353" s="3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row>
    <row r="354" spans="2:41" x14ac:dyDescent="0.2">
      <c r="B354" s="128"/>
      <c r="C354" s="128"/>
      <c r="D354" s="176"/>
      <c r="E354" s="128"/>
      <c r="F354" s="128"/>
      <c r="G354" s="128"/>
      <c r="H354" s="128"/>
      <c r="I354" s="128"/>
      <c r="J354" s="3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row>
    <row r="355" spans="2:41" x14ac:dyDescent="0.2">
      <c r="B355" s="128"/>
      <c r="C355" s="128"/>
      <c r="D355" s="176"/>
      <c r="E355" s="128"/>
      <c r="F355" s="128"/>
      <c r="G355" s="128"/>
      <c r="H355" s="128"/>
      <c r="I355" s="128"/>
      <c r="J355" s="3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row>
    <row r="356" spans="2:41" x14ac:dyDescent="0.2">
      <c r="B356" s="128"/>
      <c r="C356" s="128"/>
      <c r="D356" s="176"/>
      <c r="E356" s="128"/>
      <c r="F356" s="128"/>
      <c r="G356" s="128"/>
      <c r="H356" s="128"/>
      <c r="I356" s="128"/>
      <c r="J356" s="3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row>
    <row r="357" spans="2:41" x14ac:dyDescent="0.2">
      <c r="B357" s="128"/>
      <c r="C357" s="128"/>
      <c r="D357" s="176"/>
      <c r="E357" s="128"/>
      <c r="F357" s="128"/>
      <c r="G357" s="128"/>
      <c r="H357" s="128"/>
      <c r="I357" s="128"/>
      <c r="J357" s="3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row>
    <row r="358" spans="2:41" x14ac:dyDescent="0.2">
      <c r="B358" s="128"/>
      <c r="C358" s="128"/>
      <c r="D358" s="176"/>
      <c r="E358" s="128"/>
      <c r="F358" s="128"/>
      <c r="G358" s="128"/>
      <c r="H358" s="128"/>
      <c r="I358" s="128"/>
      <c r="J358" s="3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row>
    <row r="359" spans="2:41" x14ac:dyDescent="0.2">
      <c r="B359" s="128"/>
      <c r="C359" s="128"/>
      <c r="D359" s="176"/>
      <c r="E359" s="128"/>
      <c r="F359" s="128"/>
      <c r="G359" s="128"/>
      <c r="H359" s="128"/>
      <c r="I359" s="128"/>
      <c r="J359" s="3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row>
    <row r="360" spans="2:41" x14ac:dyDescent="0.2">
      <c r="B360" s="128"/>
      <c r="C360" s="128"/>
      <c r="D360" s="176"/>
      <c r="E360" s="128"/>
      <c r="F360" s="128"/>
      <c r="G360" s="128"/>
      <c r="H360" s="128"/>
      <c r="I360" s="128"/>
      <c r="J360" s="3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row>
    <row r="361" spans="2:41" x14ac:dyDescent="0.2">
      <c r="B361" s="128"/>
      <c r="C361" s="128"/>
      <c r="D361" s="176"/>
      <c r="E361" s="128"/>
      <c r="F361" s="128"/>
      <c r="G361" s="128"/>
      <c r="H361" s="128"/>
      <c r="I361" s="128"/>
      <c r="J361" s="3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row>
    <row r="362" spans="2:41" x14ac:dyDescent="0.2">
      <c r="B362" s="128"/>
      <c r="C362" s="128"/>
      <c r="D362" s="176"/>
      <c r="E362" s="128"/>
      <c r="F362" s="128"/>
      <c r="G362" s="128"/>
      <c r="H362" s="128"/>
      <c r="I362" s="128"/>
      <c r="J362" s="3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row>
    <row r="363" spans="2:41" x14ac:dyDescent="0.2">
      <c r="B363" s="128"/>
      <c r="C363" s="128"/>
      <c r="D363" s="176"/>
      <c r="E363" s="128"/>
      <c r="F363" s="128"/>
      <c r="G363" s="128"/>
      <c r="H363" s="128"/>
      <c r="I363" s="128"/>
      <c r="J363" s="3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row>
    <row r="364" spans="2:41" x14ac:dyDescent="0.2">
      <c r="B364" s="128"/>
      <c r="C364" s="128"/>
      <c r="D364" s="176"/>
      <c r="E364" s="128"/>
      <c r="F364" s="128"/>
      <c r="G364" s="128"/>
      <c r="H364" s="128"/>
      <c r="I364" s="128"/>
      <c r="J364" s="3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row>
    <row r="365" spans="2:41" x14ac:dyDescent="0.2">
      <c r="B365" s="128"/>
      <c r="C365" s="128"/>
      <c r="D365" s="176"/>
      <c r="E365" s="128"/>
      <c r="F365" s="128"/>
      <c r="G365" s="128"/>
      <c r="H365" s="128"/>
      <c r="I365" s="128"/>
      <c r="J365" s="3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row>
    <row r="366" spans="2:41" x14ac:dyDescent="0.2">
      <c r="B366" s="128"/>
      <c r="C366" s="128"/>
      <c r="D366" s="176"/>
      <c r="E366" s="128"/>
      <c r="F366" s="128"/>
      <c r="G366" s="128"/>
      <c r="H366" s="128"/>
      <c r="I366" s="128"/>
      <c r="J366" s="3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row>
    <row r="367" spans="2:41" x14ac:dyDescent="0.2">
      <c r="B367" s="128"/>
      <c r="C367" s="128"/>
      <c r="D367" s="176"/>
      <c r="E367" s="128"/>
      <c r="F367" s="128"/>
      <c r="G367" s="128"/>
      <c r="H367" s="128"/>
      <c r="I367" s="128"/>
      <c r="J367" s="3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row>
    <row r="368" spans="2:41" x14ac:dyDescent="0.2">
      <c r="B368" s="128"/>
      <c r="C368" s="128"/>
      <c r="D368" s="176"/>
      <c r="E368" s="128"/>
      <c r="F368" s="128"/>
      <c r="G368" s="128"/>
      <c r="H368" s="128"/>
      <c r="I368" s="128"/>
      <c r="J368" s="3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row>
    <row r="369" spans="2:41" x14ac:dyDescent="0.2">
      <c r="B369" s="128"/>
      <c r="C369" s="128"/>
      <c r="D369" s="176"/>
      <c r="E369" s="128"/>
      <c r="F369" s="128"/>
      <c r="G369" s="128"/>
      <c r="H369" s="128"/>
      <c r="I369" s="128"/>
      <c r="J369" s="3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row>
    <row r="370" spans="2:41" x14ac:dyDescent="0.2">
      <c r="B370" s="128"/>
      <c r="C370" s="128"/>
      <c r="D370" s="176"/>
      <c r="E370" s="128"/>
      <c r="F370" s="128"/>
      <c r="G370" s="128"/>
      <c r="H370" s="128"/>
      <c r="I370" s="128"/>
      <c r="J370" s="3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row>
    <row r="371" spans="2:41" x14ac:dyDescent="0.2">
      <c r="B371" s="128"/>
      <c r="C371" s="128"/>
      <c r="D371" s="176"/>
      <c r="E371" s="128"/>
      <c r="F371" s="128"/>
      <c r="G371" s="128"/>
      <c r="H371" s="128"/>
      <c r="I371" s="128"/>
      <c r="J371" s="3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row>
    <row r="372" spans="2:41" x14ac:dyDescent="0.2">
      <c r="B372" s="128"/>
      <c r="C372" s="128"/>
      <c r="D372" s="176"/>
      <c r="E372" s="128"/>
      <c r="F372" s="128"/>
      <c r="G372" s="128"/>
      <c r="H372" s="128"/>
      <c r="I372" s="128"/>
      <c r="J372" s="3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row>
    <row r="373" spans="2:41" x14ac:dyDescent="0.2">
      <c r="B373" s="128"/>
      <c r="C373" s="128"/>
      <c r="D373" s="176"/>
      <c r="E373" s="128"/>
      <c r="F373" s="128"/>
      <c r="G373" s="128"/>
      <c r="H373" s="128"/>
      <c r="I373" s="128"/>
      <c r="J373" s="3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row>
    <row r="374" spans="2:41" x14ac:dyDescent="0.2">
      <c r="B374" s="128"/>
      <c r="C374" s="128"/>
      <c r="D374" s="176"/>
      <c r="E374" s="128"/>
      <c r="F374" s="128"/>
      <c r="G374" s="128"/>
      <c r="H374" s="128"/>
      <c r="I374" s="128"/>
      <c r="J374" s="3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row>
    <row r="375" spans="2:41" x14ac:dyDescent="0.2">
      <c r="B375" s="128"/>
      <c r="C375" s="128"/>
      <c r="D375" s="176"/>
      <c r="E375" s="128"/>
      <c r="F375" s="128"/>
      <c r="G375" s="128"/>
      <c r="H375" s="128"/>
      <c r="I375" s="128"/>
      <c r="J375" s="3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row>
    <row r="376" spans="2:41" x14ac:dyDescent="0.2">
      <c r="B376" s="128"/>
      <c r="C376" s="128"/>
      <c r="D376" s="176"/>
      <c r="E376" s="128"/>
      <c r="F376" s="128"/>
      <c r="G376" s="128"/>
      <c r="H376" s="128"/>
      <c r="I376" s="128"/>
      <c r="J376" s="3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row>
    <row r="377" spans="2:41" x14ac:dyDescent="0.2">
      <c r="B377" s="128"/>
      <c r="C377" s="128"/>
      <c r="D377" s="176"/>
      <c r="E377" s="128"/>
      <c r="F377" s="128"/>
      <c r="G377" s="128"/>
      <c r="H377" s="128"/>
      <c r="I377" s="128"/>
      <c r="J377" s="3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row>
    <row r="378" spans="2:41" x14ac:dyDescent="0.2">
      <c r="B378" s="128"/>
      <c r="C378" s="128"/>
      <c r="D378" s="176"/>
      <c r="E378" s="128"/>
      <c r="F378" s="128"/>
      <c r="G378" s="128"/>
      <c r="H378" s="128"/>
      <c r="I378" s="128"/>
      <c r="J378" s="3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row>
    <row r="379" spans="2:41" x14ac:dyDescent="0.2">
      <c r="B379" s="128"/>
      <c r="C379" s="128"/>
      <c r="D379" s="176"/>
      <c r="E379" s="128"/>
      <c r="F379" s="128"/>
      <c r="G379" s="128"/>
      <c r="H379" s="128"/>
      <c r="I379" s="128"/>
      <c r="J379" s="3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row>
    <row r="380" spans="2:41" x14ac:dyDescent="0.2">
      <c r="B380" s="128"/>
      <c r="C380" s="128"/>
      <c r="D380" s="176"/>
      <c r="E380" s="128"/>
      <c r="F380" s="128"/>
      <c r="G380" s="128"/>
      <c r="H380" s="128"/>
      <c r="I380" s="128"/>
      <c r="J380" s="3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row>
    <row r="381" spans="2:41" x14ac:dyDescent="0.2">
      <c r="B381" s="128"/>
      <c r="C381" s="128"/>
      <c r="D381" s="176"/>
      <c r="E381" s="128"/>
      <c r="F381" s="128"/>
      <c r="G381" s="128"/>
      <c r="H381" s="128"/>
      <c r="I381" s="128"/>
      <c r="J381" s="3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row>
    <row r="382" spans="2:41" x14ac:dyDescent="0.2">
      <c r="B382" s="128"/>
      <c r="C382" s="128"/>
      <c r="D382" s="176"/>
      <c r="E382" s="128"/>
      <c r="F382" s="128"/>
      <c r="G382" s="128"/>
      <c r="H382" s="128"/>
      <c r="I382" s="128"/>
      <c r="J382" s="3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row>
    <row r="383" spans="2:41" x14ac:dyDescent="0.2">
      <c r="B383" s="128"/>
      <c r="C383" s="128"/>
      <c r="D383" s="176"/>
      <c r="E383" s="128"/>
      <c r="F383" s="128"/>
      <c r="G383" s="128"/>
      <c r="H383" s="128"/>
      <c r="I383" s="128"/>
      <c r="J383" s="3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row>
    <row r="384" spans="2:41" x14ac:dyDescent="0.2">
      <c r="B384" s="128"/>
      <c r="C384" s="128"/>
      <c r="D384" s="176"/>
      <c r="E384" s="128"/>
      <c r="F384" s="128"/>
      <c r="G384" s="128"/>
      <c r="H384" s="128"/>
      <c r="I384" s="128"/>
      <c r="J384" s="3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row>
    <row r="385" spans="2:41" x14ac:dyDescent="0.2">
      <c r="B385" s="128"/>
      <c r="C385" s="128"/>
      <c r="D385" s="176"/>
      <c r="E385" s="128"/>
      <c r="F385" s="128"/>
      <c r="G385" s="128"/>
      <c r="H385" s="128"/>
      <c r="I385" s="128"/>
      <c r="J385" s="3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row>
    <row r="386" spans="2:41" x14ac:dyDescent="0.2">
      <c r="B386" s="128"/>
      <c r="C386" s="128"/>
      <c r="D386" s="176"/>
      <c r="E386" s="128"/>
      <c r="F386" s="128"/>
      <c r="G386" s="128"/>
      <c r="H386" s="128"/>
      <c r="I386" s="128"/>
      <c r="J386" s="3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row>
    <row r="387" spans="2:41" x14ac:dyDescent="0.2">
      <c r="B387" s="128"/>
      <c r="C387" s="128"/>
      <c r="D387" s="176"/>
      <c r="E387" s="128"/>
      <c r="F387" s="128"/>
      <c r="G387" s="128"/>
      <c r="H387" s="128"/>
      <c r="I387" s="128"/>
      <c r="J387" s="3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row>
    <row r="388" spans="2:41" x14ac:dyDescent="0.2">
      <c r="B388" s="128"/>
      <c r="C388" s="128"/>
      <c r="D388" s="176"/>
      <c r="E388" s="128"/>
      <c r="F388" s="128"/>
      <c r="G388" s="128"/>
      <c r="H388" s="128"/>
      <c r="I388" s="128"/>
      <c r="J388" s="3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row>
    <row r="389" spans="2:41" x14ac:dyDescent="0.2">
      <c r="B389" s="128"/>
      <c r="C389" s="128"/>
      <c r="D389" s="176"/>
      <c r="E389" s="128"/>
      <c r="F389" s="128"/>
      <c r="G389" s="128"/>
      <c r="H389" s="128"/>
      <c r="I389" s="128"/>
      <c r="J389" s="3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row>
    <row r="390" spans="2:41" x14ac:dyDescent="0.2">
      <c r="B390" s="128"/>
      <c r="C390" s="128"/>
      <c r="D390" s="176"/>
      <c r="E390" s="128"/>
      <c r="F390" s="128"/>
      <c r="G390" s="128"/>
      <c r="H390" s="128"/>
      <c r="I390" s="128"/>
      <c r="J390" s="3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row>
    <row r="391" spans="2:41" x14ac:dyDescent="0.2">
      <c r="B391" s="128"/>
      <c r="C391" s="128"/>
      <c r="D391" s="176"/>
      <c r="E391" s="128"/>
      <c r="F391" s="128"/>
      <c r="G391" s="128"/>
      <c r="H391" s="128"/>
      <c r="I391" s="128"/>
      <c r="J391" s="3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row>
    <row r="392" spans="2:41" x14ac:dyDescent="0.2">
      <c r="B392" s="128"/>
      <c r="C392" s="128"/>
      <c r="D392" s="176"/>
      <c r="E392" s="128"/>
      <c r="F392" s="128"/>
      <c r="G392" s="128"/>
      <c r="H392" s="128"/>
      <c r="I392" s="128"/>
      <c r="J392" s="3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row>
    <row r="393" spans="2:41" x14ac:dyDescent="0.2">
      <c r="B393" s="128"/>
      <c r="C393" s="128"/>
      <c r="D393" s="176"/>
      <c r="E393" s="128"/>
      <c r="F393" s="128"/>
      <c r="G393" s="128"/>
      <c r="H393" s="128"/>
      <c r="I393" s="128"/>
      <c r="J393" s="3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row>
    <row r="394" spans="2:41" x14ac:dyDescent="0.2">
      <c r="B394" s="128"/>
      <c r="C394" s="128"/>
      <c r="D394" s="176"/>
      <c r="E394" s="128"/>
      <c r="F394" s="128"/>
      <c r="G394" s="128"/>
      <c r="H394" s="128"/>
      <c r="I394" s="128"/>
      <c r="J394" s="3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row>
    <row r="395" spans="2:41" x14ac:dyDescent="0.2">
      <c r="B395" s="128"/>
      <c r="C395" s="128"/>
      <c r="D395" s="176"/>
      <c r="E395" s="128"/>
      <c r="F395" s="128"/>
      <c r="G395" s="128"/>
      <c r="H395" s="128"/>
      <c r="I395" s="128"/>
      <c r="J395" s="3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row>
    <row r="396" spans="2:41" x14ac:dyDescent="0.2">
      <c r="B396" s="128"/>
      <c r="C396" s="128"/>
      <c r="D396" s="176"/>
      <c r="E396" s="128"/>
      <c r="F396" s="128"/>
      <c r="G396" s="128"/>
      <c r="H396" s="128"/>
      <c r="I396" s="128"/>
      <c r="J396" s="3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row>
    <row r="397" spans="2:41" x14ac:dyDescent="0.2">
      <c r="B397" s="128"/>
      <c r="C397" s="128"/>
      <c r="D397" s="176"/>
      <c r="E397" s="128"/>
      <c r="F397" s="128"/>
      <c r="G397" s="128"/>
      <c r="H397" s="128"/>
      <c r="I397" s="128"/>
      <c r="J397" s="3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row>
    <row r="398" spans="2:41" x14ac:dyDescent="0.2">
      <c r="B398" s="128"/>
      <c r="C398" s="128"/>
      <c r="D398" s="176"/>
      <c r="E398" s="128"/>
      <c r="F398" s="128"/>
      <c r="G398" s="128"/>
      <c r="H398" s="128"/>
      <c r="I398" s="128"/>
      <c r="J398" s="3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row>
    <row r="399" spans="2:41" x14ac:dyDescent="0.2">
      <c r="B399" s="128"/>
      <c r="C399" s="128"/>
      <c r="D399" s="176"/>
      <c r="E399" s="128"/>
      <c r="F399" s="128"/>
      <c r="G399" s="128"/>
      <c r="H399" s="128"/>
      <c r="I399" s="128"/>
      <c r="J399" s="3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row>
    <row r="400" spans="2:41" x14ac:dyDescent="0.2">
      <c r="B400" s="128"/>
      <c r="C400" s="128"/>
      <c r="D400" s="176"/>
      <c r="E400" s="128"/>
      <c r="F400" s="128"/>
      <c r="G400" s="128"/>
      <c r="H400" s="128"/>
      <c r="I400" s="128"/>
      <c r="J400" s="3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row>
    <row r="401" spans="2:41" x14ac:dyDescent="0.2">
      <c r="B401" s="128"/>
      <c r="C401" s="128"/>
      <c r="D401" s="176"/>
      <c r="E401" s="128"/>
      <c r="F401" s="128"/>
      <c r="G401" s="128"/>
      <c r="H401" s="128"/>
      <c r="I401" s="128"/>
      <c r="J401" s="3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row>
    <row r="402" spans="2:41" x14ac:dyDescent="0.2">
      <c r="B402" s="128"/>
      <c r="C402" s="128"/>
      <c r="D402" s="176"/>
      <c r="E402" s="128"/>
      <c r="F402" s="128"/>
      <c r="G402" s="128"/>
      <c r="H402" s="128"/>
      <c r="I402" s="128"/>
      <c r="J402" s="3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row>
    <row r="403" spans="2:41" x14ac:dyDescent="0.2">
      <c r="B403" s="128"/>
      <c r="C403" s="128"/>
      <c r="D403" s="176"/>
      <c r="E403" s="128"/>
      <c r="F403" s="128"/>
      <c r="G403" s="128"/>
      <c r="H403" s="128"/>
      <c r="I403" s="128"/>
      <c r="J403" s="3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row>
    <row r="404" spans="2:41" x14ac:dyDescent="0.2">
      <c r="B404" s="128"/>
      <c r="C404" s="128"/>
      <c r="D404" s="176"/>
      <c r="E404" s="128"/>
      <c r="F404" s="128"/>
      <c r="G404" s="128"/>
      <c r="H404" s="128"/>
      <c r="I404" s="128"/>
      <c r="J404" s="3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row>
    <row r="405" spans="2:41" x14ac:dyDescent="0.2">
      <c r="B405" s="128"/>
      <c r="C405" s="128"/>
      <c r="D405" s="176"/>
      <c r="E405" s="128"/>
      <c r="F405" s="128"/>
      <c r="G405" s="128"/>
      <c r="H405" s="128"/>
      <c r="I405" s="128"/>
      <c r="J405" s="3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row>
    <row r="406" spans="2:41" x14ac:dyDescent="0.2">
      <c r="B406" s="128"/>
      <c r="C406" s="128"/>
      <c r="D406" s="176"/>
      <c r="E406" s="128"/>
      <c r="F406" s="128"/>
      <c r="G406" s="128"/>
      <c r="H406" s="128"/>
      <c r="I406" s="128"/>
      <c r="J406" s="3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row>
    <row r="407" spans="2:41" x14ac:dyDescent="0.2">
      <c r="B407" s="128"/>
      <c r="C407" s="128"/>
      <c r="D407" s="176"/>
      <c r="E407" s="128"/>
      <c r="F407" s="128"/>
      <c r="G407" s="128"/>
      <c r="H407" s="128"/>
      <c r="I407" s="128"/>
      <c r="J407" s="3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row>
    <row r="408" spans="2:41" x14ac:dyDescent="0.2">
      <c r="B408" s="128"/>
      <c r="C408" s="128"/>
      <c r="D408" s="176"/>
      <c r="E408" s="128"/>
      <c r="F408" s="128"/>
      <c r="G408" s="128"/>
      <c r="H408" s="128"/>
      <c r="I408" s="128"/>
      <c r="J408" s="3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row>
    <row r="409" spans="2:41" x14ac:dyDescent="0.2">
      <c r="B409" s="128"/>
      <c r="C409" s="128"/>
      <c r="D409" s="176"/>
      <c r="E409" s="128"/>
      <c r="F409" s="128"/>
      <c r="G409" s="128"/>
      <c r="H409" s="128"/>
      <c r="I409" s="128"/>
      <c r="J409" s="3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row>
    <row r="410" spans="2:41" x14ac:dyDescent="0.2">
      <c r="B410" s="128"/>
      <c r="C410" s="128"/>
      <c r="D410" s="176"/>
      <c r="E410" s="128"/>
      <c r="F410" s="128"/>
      <c r="G410" s="128"/>
      <c r="H410" s="128"/>
      <c r="I410" s="128"/>
      <c r="J410" s="3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row>
    <row r="411" spans="2:41" x14ac:dyDescent="0.2">
      <c r="B411" s="128"/>
      <c r="C411" s="128"/>
      <c r="D411" s="176"/>
      <c r="E411" s="128"/>
      <c r="F411" s="128"/>
      <c r="G411" s="128"/>
      <c r="H411" s="128"/>
      <c r="I411" s="128"/>
      <c r="J411" s="3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row>
    <row r="412" spans="2:41" x14ac:dyDescent="0.2">
      <c r="B412" s="128"/>
      <c r="C412" s="128"/>
      <c r="D412" s="176"/>
      <c r="E412" s="128"/>
      <c r="F412" s="128"/>
      <c r="G412" s="128"/>
      <c r="H412" s="128"/>
      <c r="I412" s="128"/>
      <c r="J412" s="3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row>
    <row r="413" spans="2:41" x14ac:dyDescent="0.2">
      <c r="B413" s="128"/>
      <c r="C413" s="128"/>
      <c r="D413" s="176"/>
      <c r="E413" s="128"/>
      <c r="F413" s="128"/>
      <c r="G413" s="128"/>
      <c r="H413" s="128"/>
      <c r="I413" s="128"/>
      <c r="J413" s="3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row>
    <row r="414" spans="2:41" x14ac:dyDescent="0.2">
      <c r="B414" s="128"/>
      <c r="C414" s="128"/>
      <c r="D414" s="176"/>
      <c r="E414" s="128"/>
      <c r="F414" s="128"/>
      <c r="G414" s="128"/>
      <c r="H414" s="128"/>
      <c r="I414" s="128"/>
      <c r="J414" s="3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row>
    <row r="415" spans="2:41" x14ac:dyDescent="0.2">
      <c r="B415" s="128"/>
      <c r="C415" s="128"/>
      <c r="D415" s="176"/>
      <c r="E415" s="128"/>
      <c r="F415" s="128"/>
      <c r="G415" s="128"/>
      <c r="H415" s="128"/>
      <c r="I415" s="128"/>
      <c r="J415" s="3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row>
    <row r="416" spans="2:41" x14ac:dyDescent="0.2">
      <c r="B416" s="128"/>
      <c r="C416" s="128"/>
      <c r="D416" s="176"/>
      <c r="E416" s="128"/>
      <c r="F416" s="128"/>
      <c r="G416" s="128"/>
      <c r="H416" s="128"/>
      <c r="I416" s="128"/>
      <c r="J416" s="3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row>
    <row r="417" spans="2:41" x14ac:dyDescent="0.2">
      <c r="B417" s="128"/>
      <c r="C417" s="128"/>
      <c r="D417" s="176"/>
      <c r="E417" s="128"/>
      <c r="F417" s="128"/>
      <c r="G417" s="128"/>
      <c r="H417" s="128"/>
      <c r="I417" s="128"/>
      <c r="J417" s="3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row>
    <row r="418" spans="2:41" x14ac:dyDescent="0.2">
      <c r="B418" s="128"/>
      <c r="C418" s="128"/>
      <c r="D418" s="176"/>
      <c r="E418" s="128"/>
      <c r="F418" s="128"/>
      <c r="G418" s="128"/>
      <c r="H418" s="128"/>
      <c r="I418" s="128"/>
      <c r="J418" s="3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row>
    <row r="419" spans="2:41" x14ac:dyDescent="0.2">
      <c r="B419" s="128"/>
      <c r="C419" s="128"/>
      <c r="D419" s="176"/>
      <c r="E419" s="128"/>
      <c r="F419" s="128"/>
      <c r="G419" s="128"/>
      <c r="H419" s="128"/>
      <c r="I419" s="128"/>
      <c r="J419" s="3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row>
    <row r="420" spans="2:41" x14ac:dyDescent="0.2">
      <c r="B420" s="128"/>
      <c r="C420" s="128"/>
      <c r="D420" s="176"/>
      <c r="E420" s="128"/>
      <c r="F420" s="128"/>
      <c r="G420" s="128"/>
      <c r="H420" s="128"/>
      <c r="I420" s="128"/>
      <c r="J420" s="3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row>
    <row r="421" spans="2:41" x14ac:dyDescent="0.2">
      <c r="B421" s="128"/>
      <c r="C421" s="128"/>
      <c r="D421" s="176"/>
      <c r="E421" s="128"/>
      <c r="F421" s="128"/>
      <c r="G421" s="128"/>
      <c r="H421" s="128"/>
      <c r="I421" s="128"/>
      <c r="J421" s="3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row>
    <row r="422" spans="2:41" x14ac:dyDescent="0.2">
      <c r="B422" s="128"/>
      <c r="C422" s="128"/>
      <c r="D422" s="176"/>
      <c r="E422" s="128"/>
      <c r="F422" s="128"/>
      <c r="G422" s="128"/>
      <c r="H422" s="128"/>
      <c r="I422" s="128"/>
      <c r="J422" s="3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row>
    <row r="423" spans="2:41" x14ac:dyDescent="0.2">
      <c r="B423" s="128"/>
      <c r="C423" s="128"/>
      <c r="D423" s="176"/>
      <c r="E423" s="128"/>
      <c r="F423" s="128"/>
      <c r="G423" s="128"/>
      <c r="H423" s="128"/>
      <c r="I423" s="128"/>
      <c r="J423" s="3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row>
    <row r="424" spans="2:41" x14ac:dyDescent="0.2">
      <c r="B424" s="128"/>
      <c r="C424" s="128"/>
      <c r="D424" s="176"/>
      <c r="E424" s="128"/>
      <c r="F424" s="128"/>
      <c r="G424" s="128"/>
      <c r="H424" s="128"/>
      <c r="I424" s="128"/>
      <c r="J424" s="3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row>
    <row r="425" spans="2:41" x14ac:dyDescent="0.2">
      <c r="B425" s="128"/>
      <c r="C425" s="128"/>
      <c r="D425" s="176"/>
      <c r="E425" s="128"/>
      <c r="F425" s="128"/>
      <c r="G425" s="128"/>
      <c r="H425" s="128"/>
      <c r="I425" s="128"/>
      <c r="J425" s="3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row>
    <row r="426" spans="2:41" x14ac:dyDescent="0.2">
      <c r="B426" s="128"/>
      <c r="C426" s="128"/>
      <c r="D426" s="176"/>
      <c r="E426" s="128"/>
      <c r="F426" s="128"/>
      <c r="G426" s="128"/>
      <c r="H426" s="128"/>
      <c r="I426" s="128"/>
      <c r="J426" s="3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row>
    <row r="427" spans="2:41" x14ac:dyDescent="0.2">
      <c r="B427" s="128"/>
      <c r="C427" s="128"/>
      <c r="D427" s="176"/>
      <c r="E427" s="128"/>
      <c r="F427" s="128"/>
      <c r="G427" s="128"/>
      <c r="H427" s="128"/>
      <c r="I427" s="128"/>
      <c r="J427" s="3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row>
    <row r="428" spans="2:41" x14ac:dyDescent="0.2">
      <c r="B428" s="128"/>
      <c r="C428" s="128"/>
      <c r="D428" s="176"/>
      <c r="E428" s="128"/>
      <c r="F428" s="128"/>
      <c r="G428" s="128"/>
      <c r="H428" s="128"/>
      <c r="I428" s="128"/>
      <c r="J428" s="3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row>
    <row r="429" spans="2:41" x14ac:dyDescent="0.2">
      <c r="B429" s="128"/>
      <c r="C429" s="128"/>
      <c r="D429" s="176"/>
      <c r="E429" s="128"/>
      <c r="F429" s="128"/>
      <c r="G429" s="128"/>
      <c r="H429" s="128"/>
      <c r="I429" s="128"/>
      <c r="J429" s="3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row>
    <row r="430" spans="2:41" x14ac:dyDescent="0.2">
      <c r="B430" s="128"/>
      <c r="C430" s="128"/>
      <c r="D430" s="176"/>
      <c r="E430" s="128"/>
      <c r="F430" s="128"/>
      <c r="G430" s="128"/>
      <c r="H430" s="128"/>
      <c r="I430" s="128"/>
      <c r="J430" s="3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row>
    <row r="431" spans="2:41" x14ac:dyDescent="0.2">
      <c r="B431" s="128"/>
      <c r="C431" s="128"/>
      <c r="D431" s="176"/>
      <c r="E431" s="128"/>
      <c r="F431" s="128"/>
      <c r="G431" s="128"/>
      <c r="H431" s="128"/>
      <c r="I431" s="128"/>
      <c r="J431" s="3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row>
    <row r="432" spans="2:41" x14ac:dyDescent="0.2">
      <c r="B432" s="128"/>
      <c r="C432" s="128"/>
      <c r="D432" s="176"/>
      <c r="E432" s="128"/>
      <c r="F432" s="128"/>
      <c r="G432" s="128"/>
      <c r="H432" s="128"/>
      <c r="I432" s="128"/>
      <c r="J432" s="3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row>
    <row r="433" spans="2:41" x14ac:dyDescent="0.2">
      <c r="B433" s="128"/>
      <c r="C433" s="128"/>
      <c r="D433" s="176"/>
      <c r="E433" s="128"/>
      <c r="F433" s="128"/>
      <c r="G433" s="128"/>
      <c r="H433" s="128"/>
      <c r="I433" s="128"/>
      <c r="J433" s="3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row>
    <row r="434" spans="2:41" x14ac:dyDescent="0.2">
      <c r="B434" s="128"/>
      <c r="C434" s="128"/>
      <c r="D434" s="176"/>
      <c r="E434" s="128"/>
      <c r="F434" s="128"/>
      <c r="G434" s="128"/>
      <c r="H434" s="128"/>
      <c r="I434" s="128"/>
      <c r="J434" s="3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row>
    <row r="435" spans="2:41" x14ac:dyDescent="0.2">
      <c r="B435" s="128"/>
      <c r="C435" s="128"/>
      <c r="D435" s="176"/>
      <c r="E435" s="128"/>
      <c r="F435" s="128"/>
      <c r="G435" s="128"/>
      <c r="H435" s="128"/>
      <c r="I435" s="128"/>
      <c r="J435" s="3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row>
    <row r="436" spans="2:41" x14ac:dyDescent="0.2">
      <c r="B436" s="128"/>
      <c r="C436" s="128"/>
      <c r="D436" s="176"/>
      <c r="E436" s="128"/>
      <c r="F436" s="128"/>
      <c r="G436" s="128"/>
      <c r="H436" s="128"/>
      <c r="I436" s="128"/>
      <c r="J436" s="3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row>
    <row r="437" spans="2:41" x14ac:dyDescent="0.2">
      <c r="B437" s="128"/>
      <c r="C437" s="128"/>
      <c r="D437" s="176"/>
      <c r="E437" s="128"/>
      <c r="F437" s="128"/>
      <c r="G437" s="128"/>
      <c r="H437" s="128"/>
      <c r="I437" s="128"/>
      <c r="J437" s="3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row>
    <row r="438" spans="2:41" x14ac:dyDescent="0.2">
      <c r="B438" s="128"/>
      <c r="C438" s="128"/>
      <c r="D438" s="176"/>
      <c r="E438" s="128"/>
      <c r="F438" s="128"/>
      <c r="G438" s="128"/>
      <c r="H438" s="128"/>
      <c r="I438" s="128"/>
      <c r="J438" s="3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row>
    <row r="439" spans="2:41" x14ac:dyDescent="0.2">
      <c r="B439" s="128"/>
      <c r="C439" s="128"/>
      <c r="D439" s="176"/>
      <c r="E439" s="128"/>
      <c r="F439" s="128"/>
      <c r="G439" s="128"/>
      <c r="H439" s="128"/>
      <c r="I439" s="128"/>
      <c r="J439" s="3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row>
    <row r="440" spans="2:41" x14ac:dyDescent="0.2">
      <c r="B440" s="128"/>
      <c r="C440" s="128"/>
      <c r="D440" s="176"/>
      <c r="E440" s="128"/>
      <c r="F440" s="128"/>
      <c r="G440" s="128"/>
      <c r="H440" s="128"/>
      <c r="I440" s="128"/>
      <c r="J440" s="3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row>
    <row r="441" spans="2:41" x14ac:dyDescent="0.2">
      <c r="B441" s="128"/>
      <c r="C441" s="128"/>
      <c r="D441" s="176"/>
      <c r="E441" s="128"/>
      <c r="F441" s="128"/>
      <c r="G441" s="128"/>
      <c r="H441" s="128"/>
      <c r="I441" s="128"/>
      <c r="J441" s="3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row>
    <row r="442" spans="2:41" x14ac:dyDescent="0.2">
      <c r="B442" s="128"/>
      <c r="C442" s="128"/>
      <c r="D442" s="176"/>
      <c r="E442" s="128"/>
      <c r="F442" s="128"/>
      <c r="G442" s="128"/>
      <c r="H442" s="128"/>
      <c r="I442" s="128"/>
      <c r="J442" s="3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row>
    <row r="443" spans="2:41" x14ac:dyDescent="0.2">
      <c r="B443" s="128"/>
      <c r="C443" s="128"/>
      <c r="D443" s="176"/>
      <c r="E443" s="128"/>
      <c r="F443" s="128"/>
      <c r="G443" s="128"/>
      <c r="H443" s="128"/>
      <c r="I443" s="128"/>
      <c r="J443" s="3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row>
    <row r="444" spans="2:41" x14ac:dyDescent="0.2">
      <c r="B444" s="128"/>
      <c r="C444" s="128"/>
      <c r="D444" s="176"/>
      <c r="E444" s="128"/>
      <c r="F444" s="128"/>
      <c r="G444" s="128"/>
      <c r="H444" s="128"/>
      <c r="I444" s="128"/>
      <c r="J444" s="3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row>
    <row r="445" spans="2:41" x14ac:dyDescent="0.2">
      <c r="B445" s="128"/>
      <c r="C445" s="128"/>
      <c r="D445" s="176"/>
      <c r="E445" s="128"/>
      <c r="F445" s="128"/>
      <c r="G445" s="128"/>
      <c r="H445" s="128"/>
      <c r="I445" s="128"/>
      <c r="J445" s="3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row>
    <row r="446" spans="2:41" x14ac:dyDescent="0.2">
      <c r="B446" s="128"/>
      <c r="C446" s="128"/>
      <c r="D446" s="176"/>
      <c r="E446" s="128"/>
      <c r="F446" s="128"/>
      <c r="G446" s="128"/>
      <c r="H446" s="128"/>
      <c r="I446" s="128"/>
      <c r="J446" s="3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row>
    <row r="447" spans="2:41" x14ac:dyDescent="0.2">
      <c r="B447" s="128"/>
      <c r="C447" s="128"/>
      <c r="D447" s="176"/>
      <c r="E447" s="128"/>
      <c r="F447" s="128"/>
      <c r="G447" s="128"/>
      <c r="H447" s="128"/>
      <c r="I447" s="128"/>
      <c r="J447" s="3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row>
    <row r="448" spans="2:41" x14ac:dyDescent="0.2">
      <c r="B448" s="128"/>
      <c r="C448" s="128"/>
      <c r="D448" s="176"/>
      <c r="E448" s="128"/>
      <c r="F448" s="128"/>
      <c r="G448" s="128"/>
      <c r="H448" s="128"/>
      <c r="I448" s="128"/>
      <c r="J448" s="3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row>
    <row r="449" spans="2:41" x14ac:dyDescent="0.2">
      <c r="B449" s="128"/>
      <c r="C449" s="128"/>
      <c r="D449" s="176"/>
      <c r="E449" s="128"/>
      <c r="F449" s="128"/>
      <c r="G449" s="128"/>
      <c r="H449" s="128"/>
      <c r="I449" s="128"/>
      <c r="J449" s="3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row>
    <row r="450" spans="2:41" x14ac:dyDescent="0.2">
      <c r="B450" s="128"/>
      <c r="C450" s="128"/>
      <c r="D450" s="176"/>
      <c r="E450" s="128"/>
      <c r="F450" s="128"/>
      <c r="G450" s="128"/>
      <c r="H450" s="128"/>
      <c r="I450" s="128"/>
      <c r="J450" s="3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row>
    <row r="451" spans="2:41" x14ac:dyDescent="0.2">
      <c r="B451" s="128"/>
      <c r="C451" s="128"/>
      <c r="D451" s="176"/>
      <c r="E451" s="128"/>
      <c r="F451" s="128"/>
      <c r="G451" s="128"/>
      <c r="H451" s="128"/>
      <c r="I451" s="128"/>
      <c r="J451" s="3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row>
    <row r="452" spans="2:41" x14ac:dyDescent="0.2">
      <c r="B452" s="128"/>
      <c r="C452" s="128"/>
      <c r="D452" s="176"/>
      <c r="E452" s="128"/>
      <c r="F452" s="128"/>
      <c r="G452" s="128"/>
      <c r="H452" s="128"/>
      <c r="I452" s="128"/>
      <c r="J452" s="3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row>
    <row r="453" spans="2:41" x14ac:dyDescent="0.2">
      <c r="B453" s="128"/>
      <c r="C453" s="128"/>
      <c r="D453" s="176"/>
      <c r="E453" s="128"/>
      <c r="F453" s="128"/>
      <c r="G453" s="128"/>
      <c r="H453" s="128"/>
      <c r="I453" s="128"/>
      <c r="J453" s="3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row>
    <row r="454" spans="2:41" x14ac:dyDescent="0.2">
      <c r="B454" s="128"/>
      <c r="C454" s="128"/>
      <c r="D454" s="176"/>
      <c r="E454" s="128"/>
      <c r="F454" s="128"/>
      <c r="G454" s="128"/>
      <c r="H454" s="128"/>
      <c r="I454" s="128"/>
      <c r="J454" s="3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row>
    <row r="455" spans="2:41" x14ac:dyDescent="0.2">
      <c r="B455" s="128"/>
      <c r="C455" s="128"/>
      <c r="D455" s="176"/>
      <c r="E455" s="128"/>
      <c r="F455" s="128"/>
      <c r="G455" s="128"/>
      <c r="H455" s="128"/>
      <c r="I455" s="128"/>
      <c r="J455" s="3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row>
    <row r="456" spans="2:41" x14ac:dyDescent="0.2">
      <c r="B456" s="128"/>
      <c r="C456" s="128"/>
      <c r="D456" s="176"/>
      <c r="E456" s="128"/>
      <c r="F456" s="128"/>
      <c r="G456" s="128"/>
      <c r="H456" s="128"/>
      <c r="I456" s="128"/>
      <c r="J456" s="3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row>
    <row r="457" spans="2:41" x14ac:dyDescent="0.2">
      <c r="B457" s="128"/>
      <c r="C457" s="128"/>
      <c r="D457" s="176"/>
      <c r="E457" s="128"/>
      <c r="F457" s="128"/>
      <c r="G457" s="128"/>
      <c r="H457" s="128"/>
      <c r="I457" s="128"/>
      <c r="J457" s="3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row>
    <row r="458" spans="2:41" x14ac:dyDescent="0.2">
      <c r="B458" s="128"/>
      <c r="C458" s="128"/>
      <c r="D458" s="176"/>
      <c r="E458" s="128"/>
      <c r="F458" s="128"/>
      <c r="G458" s="128"/>
      <c r="H458" s="128"/>
      <c r="I458" s="128"/>
      <c r="J458" s="3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row>
    <row r="459" spans="2:41" x14ac:dyDescent="0.2">
      <c r="B459" s="128"/>
      <c r="C459" s="128"/>
      <c r="D459" s="176"/>
      <c r="E459" s="128"/>
      <c r="F459" s="128"/>
      <c r="G459" s="128"/>
      <c r="H459" s="128"/>
      <c r="I459" s="128"/>
      <c r="J459" s="3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row>
    <row r="460" spans="2:41" x14ac:dyDescent="0.2">
      <c r="B460" s="128"/>
      <c r="C460" s="128"/>
      <c r="D460" s="176"/>
      <c r="E460" s="128"/>
      <c r="F460" s="128"/>
      <c r="G460" s="128"/>
      <c r="H460" s="128"/>
      <c r="I460" s="128"/>
      <c r="J460" s="3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row>
    <row r="461" spans="2:41" x14ac:dyDescent="0.2">
      <c r="B461" s="128"/>
      <c r="C461" s="128"/>
      <c r="D461" s="176"/>
      <c r="E461" s="128"/>
      <c r="F461" s="128"/>
      <c r="G461" s="128"/>
      <c r="H461" s="128"/>
      <c r="I461" s="128"/>
      <c r="J461" s="3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row>
    <row r="462" spans="2:41" x14ac:dyDescent="0.2">
      <c r="B462" s="128"/>
      <c r="C462" s="128"/>
      <c r="D462" s="176"/>
      <c r="E462" s="128"/>
      <c r="F462" s="128"/>
      <c r="G462" s="128"/>
      <c r="H462" s="128"/>
      <c r="I462" s="128"/>
      <c r="J462" s="3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row>
    <row r="463" spans="2:41" x14ac:dyDescent="0.2">
      <c r="B463" s="128"/>
      <c r="C463" s="128"/>
      <c r="D463" s="176"/>
      <c r="E463" s="128"/>
      <c r="F463" s="128"/>
      <c r="G463" s="128"/>
      <c r="H463" s="128"/>
      <c r="I463" s="128"/>
      <c r="J463" s="3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row>
    <row r="464" spans="2:41" x14ac:dyDescent="0.2">
      <c r="B464" s="128"/>
      <c r="C464" s="128"/>
      <c r="D464" s="176"/>
      <c r="E464" s="128"/>
      <c r="F464" s="128"/>
      <c r="G464" s="128"/>
      <c r="H464" s="128"/>
      <c r="I464" s="128"/>
      <c r="J464" s="3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row>
    <row r="465" spans="2:41" x14ac:dyDescent="0.2">
      <c r="B465" s="128"/>
      <c r="C465" s="128"/>
      <c r="D465" s="176"/>
      <c r="E465" s="128"/>
      <c r="F465" s="128"/>
      <c r="G465" s="128"/>
      <c r="H465" s="128"/>
      <c r="I465" s="128"/>
      <c r="J465" s="3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row>
    <row r="466" spans="2:41" x14ac:dyDescent="0.2">
      <c r="B466" s="128"/>
      <c r="C466" s="128"/>
      <c r="D466" s="176"/>
      <c r="E466" s="128"/>
      <c r="F466" s="128"/>
      <c r="G466" s="128"/>
      <c r="H466" s="128"/>
      <c r="I466" s="128"/>
      <c r="J466" s="3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row>
    <row r="467" spans="2:41" x14ac:dyDescent="0.2">
      <c r="B467" s="128"/>
      <c r="C467" s="128"/>
      <c r="D467" s="176"/>
      <c r="E467" s="128"/>
      <c r="F467" s="128"/>
      <c r="G467" s="128"/>
      <c r="H467" s="128"/>
      <c r="I467" s="128"/>
      <c r="J467" s="3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row>
    <row r="468" spans="2:41" x14ac:dyDescent="0.2">
      <c r="B468" s="128"/>
      <c r="C468" s="128"/>
      <c r="D468" s="176"/>
      <c r="E468" s="128"/>
      <c r="F468" s="128"/>
      <c r="G468" s="128"/>
      <c r="H468" s="128"/>
      <c r="I468" s="128"/>
      <c r="J468" s="3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row>
    <row r="469" spans="2:41" x14ac:dyDescent="0.2">
      <c r="B469" s="128"/>
      <c r="C469" s="128"/>
      <c r="D469" s="176"/>
      <c r="E469" s="128"/>
      <c r="F469" s="128"/>
      <c r="G469" s="128"/>
      <c r="H469" s="128"/>
      <c r="I469" s="128"/>
      <c r="J469" s="3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row>
    <row r="470" spans="2:41" x14ac:dyDescent="0.2">
      <c r="B470" s="128"/>
      <c r="C470" s="128"/>
      <c r="D470" s="176"/>
      <c r="E470" s="128"/>
      <c r="F470" s="128"/>
      <c r="G470" s="128"/>
      <c r="H470" s="128"/>
      <c r="I470" s="128"/>
      <c r="J470" s="3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row>
    <row r="471" spans="2:41" x14ac:dyDescent="0.2">
      <c r="B471" s="128"/>
      <c r="C471" s="128"/>
      <c r="D471" s="176"/>
      <c r="E471" s="128"/>
      <c r="F471" s="128"/>
      <c r="G471" s="128"/>
      <c r="H471" s="128"/>
      <c r="I471" s="128"/>
      <c r="J471" s="3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row>
    <row r="472" spans="2:41" x14ac:dyDescent="0.2">
      <c r="B472" s="128"/>
      <c r="C472" s="128"/>
      <c r="D472" s="176"/>
      <c r="E472" s="128"/>
      <c r="F472" s="128"/>
      <c r="G472" s="128"/>
      <c r="H472" s="128"/>
      <c r="I472" s="128"/>
      <c r="J472" s="3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row>
    <row r="473" spans="2:41" x14ac:dyDescent="0.2">
      <c r="B473" s="128"/>
      <c r="C473" s="128"/>
      <c r="D473" s="176"/>
      <c r="E473" s="128"/>
      <c r="F473" s="128"/>
      <c r="G473" s="128"/>
      <c r="H473" s="128"/>
      <c r="I473" s="128"/>
      <c r="J473" s="3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row>
    <row r="474" spans="2:41" x14ac:dyDescent="0.2">
      <c r="B474" s="128"/>
      <c r="C474" s="128"/>
      <c r="D474" s="176"/>
      <c r="E474" s="128"/>
      <c r="F474" s="128"/>
      <c r="G474" s="128"/>
      <c r="H474" s="128"/>
      <c r="I474" s="128"/>
      <c r="J474" s="3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row>
    <row r="475" spans="2:41" x14ac:dyDescent="0.2">
      <c r="B475" s="128"/>
      <c r="C475" s="128"/>
      <c r="D475" s="176"/>
      <c r="E475" s="128"/>
      <c r="F475" s="128"/>
      <c r="G475" s="128"/>
      <c r="H475" s="128"/>
      <c r="I475" s="128"/>
      <c r="J475" s="3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row>
    <row r="476" spans="2:41" x14ac:dyDescent="0.2">
      <c r="B476" s="128"/>
      <c r="C476" s="128"/>
      <c r="D476" s="176"/>
      <c r="E476" s="128"/>
      <c r="F476" s="128"/>
      <c r="G476" s="128"/>
      <c r="H476" s="128"/>
      <c r="I476" s="128"/>
      <c r="J476" s="3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row>
    <row r="477" spans="2:41" x14ac:dyDescent="0.2">
      <c r="B477" s="128"/>
      <c r="C477" s="128"/>
      <c r="D477" s="176"/>
      <c r="E477" s="128"/>
      <c r="F477" s="128"/>
      <c r="G477" s="128"/>
      <c r="H477" s="128"/>
      <c r="I477" s="128"/>
      <c r="J477" s="3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row>
    <row r="478" spans="2:41" x14ac:dyDescent="0.2">
      <c r="B478" s="128"/>
      <c r="C478" s="128"/>
      <c r="D478" s="176"/>
      <c r="E478" s="128"/>
      <c r="F478" s="128"/>
      <c r="G478" s="128"/>
      <c r="H478" s="128"/>
      <c r="I478" s="128"/>
      <c r="J478" s="3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row>
    <row r="479" spans="2:41" x14ac:dyDescent="0.2">
      <c r="B479" s="128"/>
      <c r="C479" s="128"/>
      <c r="D479" s="176"/>
      <c r="E479" s="128"/>
      <c r="F479" s="128"/>
      <c r="G479" s="128"/>
      <c r="H479" s="128"/>
      <c r="I479" s="128"/>
      <c r="J479" s="3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row>
    <row r="480" spans="2:41" x14ac:dyDescent="0.2">
      <c r="B480" s="128"/>
      <c r="C480" s="128"/>
      <c r="D480" s="176"/>
      <c r="E480" s="128"/>
      <c r="F480" s="128"/>
      <c r="G480" s="128"/>
      <c r="H480" s="128"/>
      <c r="I480" s="128"/>
      <c r="J480" s="3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row>
    <row r="481" spans="2:41" x14ac:dyDescent="0.2">
      <c r="B481" s="128"/>
      <c r="C481" s="128"/>
      <c r="D481" s="176"/>
      <c r="E481" s="128"/>
      <c r="F481" s="128"/>
      <c r="G481" s="128"/>
      <c r="H481" s="128"/>
      <c r="I481" s="128"/>
      <c r="J481" s="3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row>
    <row r="482" spans="2:41" x14ac:dyDescent="0.2">
      <c r="B482" s="128"/>
      <c r="C482" s="128"/>
      <c r="D482" s="176"/>
      <c r="E482" s="128"/>
      <c r="F482" s="128"/>
      <c r="G482" s="128"/>
      <c r="H482" s="128"/>
      <c r="I482" s="128"/>
      <c r="J482" s="3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row>
    <row r="483" spans="2:41" x14ac:dyDescent="0.2">
      <c r="B483" s="128"/>
      <c r="C483" s="128"/>
      <c r="D483" s="176"/>
      <c r="E483" s="128"/>
      <c r="F483" s="128"/>
      <c r="G483" s="128"/>
      <c r="H483" s="128"/>
      <c r="I483" s="128"/>
      <c r="J483" s="3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row>
    <row r="484" spans="2:41" x14ac:dyDescent="0.2">
      <c r="B484" s="128"/>
      <c r="C484" s="128"/>
      <c r="D484" s="176"/>
      <c r="E484" s="128"/>
      <c r="F484" s="128"/>
      <c r="G484" s="128"/>
      <c r="H484" s="128"/>
      <c r="I484" s="128"/>
      <c r="J484" s="3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row>
    <row r="485" spans="2:41" x14ac:dyDescent="0.2">
      <c r="B485" s="128"/>
      <c r="C485" s="128"/>
      <c r="D485" s="176"/>
      <c r="E485" s="128"/>
      <c r="F485" s="128"/>
      <c r="G485" s="128"/>
      <c r="H485" s="128"/>
      <c r="I485" s="128"/>
      <c r="J485" s="3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row>
    <row r="486" spans="2:41" x14ac:dyDescent="0.2">
      <c r="B486" s="128"/>
      <c r="C486" s="128"/>
      <c r="D486" s="176"/>
      <c r="E486" s="128"/>
      <c r="F486" s="128"/>
      <c r="G486" s="128"/>
      <c r="H486" s="128"/>
      <c r="I486" s="128"/>
      <c r="J486" s="3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row>
    <row r="487" spans="2:41" x14ac:dyDescent="0.2">
      <c r="B487" s="128"/>
      <c r="C487" s="128"/>
      <c r="D487" s="176"/>
      <c r="E487" s="128"/>
      <c r="F487" s="128"/>
      <c r="G487" s="128"/>
      <c r="H487" s="128"/>
      <c r="I487" s="128"/>
      <c r="J487" s="3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row>
    <row r="488" spans="2:41" x14ac:dyDescent="0.2">
      <c r="B488" s="128"/>
      <c r="C488" s="128"/>
      <c r="D488" s="176"/>
      <c r="E488" s="128"/>
      <c r="F488" s="128"/>
      <c r="G488" s="128"/>
      <c r="H488" s="128"/>
      <c r="I488" s="128"/>
      <c r="J488" s="3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row>
    <row r="489" spans="2:41" x14ac:dyDescent="0.2">
      <c r="B489" s="128"/>
      <c r="C489" s="128"/>
      <c r="D489" s="176"/>
      <c r="E489" s="128"/>
      <c r="F489" s="128"/>
      <c r="G489" s="128"/>
      <c r="H489" s="128"/>
      <c r="I489" s="128"/>
      <c r="J489" s="3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row>
    <row r="490" spans="2:41" x14ac:dyDescent="0.2">
      <c r="B490" s="128"/>
      <c r="C490" s="128"/>
      <c r="D490" s="176"/>
      <c r="E490" s="128"/>
      <c r="F490" s="128"/>
      <c r="G490" s="128"/>
      <c r="H490" s="128"/>
      <c r="I490" s="128"/>
      <c r="J490" s="3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row>
    <row r="491" spans="2:41" x14ac:dyDescent="0.2">
      <c r="B491" s="128"/>
      <c r="C491" s="128"/>
      <c r="D491" s="176"/>
      <c r="E491" s="128"/>
      <c r="F491" s="128"/>
      <c r="G491" s="128"/>
      <c r="H491" s="128"/>
      <c r="I491" s="128"/>
      <c r="J491" s="3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row>
    <row r="492" spans="2:41" x14ac:dyDescent="0.2">
      <c r="B492" s="128"/>
      <c r="C492" s="128"/>
      <c r="D492" s="176"/>
      <c r="E492" s="128"/>
      <c r="F492" s="128"/>
      <c r="G492" s="128"/>
      <c r="H492" s="128"/>
      <c r="I492" s="128"/>
      <c r="J492" s="3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row>
    <row r="493" spans="2:41" x14ac:dyDescent="0.2">
      <c r="B493" s="128"/>
      <c r="C493" s="128"/>
      <c r="D493" s="176"/>
      <c r="E493" s="128"/>
      <c r="F493" s="128"/>
      <c r="G493" s="128"/>
      <c r="H493" s="128"/>
      <c r="I493" s="128"/>
      <c r="J493" s="3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row>
    <row r="494" spans="2:41" x14ac:dyDescent="0.2">
      <c r="B494" s="128"/>
      <c r="C494" s="128"/>
      <c r="D494" s="176"/>
      <c r="E494" s="128"/>
      <c r="F494" s="128"/>
      <c r="G494" s="128"/>
      <c r="H494" s="128"/>
      <c r="I494" s="128"/>
      <c r="J494" s="3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row>
    <row r="495" spans="2:41" x14ac:dyDescent="0.2">
      <c r="B495" s="128"/>
      <c r="C495" s="128"/>
      <c r="D495" s="176"/>
      <c r="E495" s="128"/>
      <c r="F495" s="128"/>
      <c r="G495" s="128"/>
      <c r="H495" s="128"/>
      <c r="I495" s="128"/>
      <c r="J495" s="3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row>
    <row r="496" spans="2:41" x14ac:dyDescent="0.2">
      <c r="B496" s="128"/>
      <c r="C496" s="128"/>
      <c r="D496" s="176"/>
      <c r="E496" s="128"/>
      <c r="F496" s="128"/>
      <c r="G496" s="128"/>
      <c r="H496" s="128"/>
      <c r="I496" s="128"/>
      <c r="J496" s="3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row>
    <row r="497" spans="2:41" x14ac:dyDescent="0.2">
      <c r="B497" s="128"/>
      <c r="C497" s="128"/>
      <c r="D497" s="176"/>
      <c r="E497" s="128"/>
      <c r="F497" s="128"/>
      <c r="G497" s="128"/>
      <c r="H497" s="128"/>
      <c r="I497" s="128"/>
      <c r="J497" s="3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row>
    <row r="498" spans="2:41" x14ac:dyDescent="0.2">
      <c r="B498" s="128"/>
      <c r="C498" s="128"/>
      <c r="D498" s="176"/>
      <c r="E498" s="128"/>
      <c r="F498" s="128"/>
      <c r="G498" s="128"/>
      <c r="H498" s="128"/>
      <c r="I498" s="128"/>
      <c r="J498" s="3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row>
    <row r="499" spans="2:41" x14ac:dyDescent="0.2">
      <c r="B499" s="128"/>
      <c r="C499" s="128"/>
      <c r="D499" s="176"/>
      <c r="E499" s="128"/>
      <c r="F499" s="128"/>
      <c r="G499" s="128"/>
      <c r="H499" s="128"/>
      <c r="I499" s="128"/>
      <c r="J499" s="3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row>
    <row r="500" spans="2:41" x14ac:dyDescent="0.2">
      <c r="B500" s="128"/>
      <c r="C500" s="128"/>
      <c r="D500" s="176"/>
      <c r="E500" s="128"/>
      <c r="F500" s="128"/>
      <c r="G500" s="128"/>
      <c r="H500" s="128"/>
      <c r="I500" s="128"/>
      <c r="J500" s="3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row>
    <row r="501" spans="2:41" x14ac:dyDescent="0.2">
      <c r="B501" s="128"/>
      <c r="C501" s="128"/>
      <c r="D501" s="176"/>
      <c r="E501" s="128"/>
      <c r="F501" s="128"/>
      <c r="G501" s="128"/>
      <c r="H501" s="128"/>
      <c r="I501" s="128"/>
      <c r="J501" s="3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row>
    <row r="502" spans="2:41" x14ac:dyDescent="0.2">
      <c r="B502" s="128"/>
      <c r="C502" s="128"/>
      <c r="D502" s="176"/>
      <c r="E502" s="128"/>
      <c r="F502" s="128"/>
      <c r="G502" s="128"/>
      <c r="H502" s="128"/>
      <c r="I502" s="128"/>
      <c r="J502" s="3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row>
    <row r="503" spans="2:41" x14ac:dyDescent="0.2">
      <c r="B503" s="128"/>
      <c r="C503" s="128"/>
      <c r="D503" s="176"/>
      <c r="E503" s="128"/>
      <c r="F503" s="128"/>
      <c r="G503" s="128"/>
      <c r="H503" s="128"/>
      <c r="I503" s="128"/>
      <c r="J503" s="3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row>
    <row r="504" spans="2:41" x14ac:dyDescent="0.2">
      <c r="B504" s="128"/>
      <c r="C504" s="128"/>
      <c r="D504" s="176"/>
      <c r="E504" s="128"/>
      <c r="F504" s="128"/>
      <c r="G504" s="128"/>
      <c r="H504" s="128"/>
      <c r="I504" s="128"/>
      <c r="J504" s="3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row>
    <row r="505" spans="2:41" x14ac:dyDescent="0.2">
      <c r="B505" s="128"/>
      <c r="C505" s="128"/>
      <c r="D505" s="176"/>
      <c r="E505" s="128"/>
      <c r="F505" s="128"/>
      <c r="G505" s="128"/>
      <c r="H505" s="128"/>
      <c r="I505" s="128"/>
      <c r="J505" s="3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row>
    <row r="506" spans="2:41" x14ac:dyDescent="0.2">
      <c r="B506" s="128"/>
      <c r="C506" s="128"/>
      <c r="D506" s="176"/>
      <c r="E506" s="128"/>
      <c r="F506" s="128"/>
      <c r="G506" s="128"/>
      <c r="H506" s="128"/>
      <c r="I506" s="128"/>
      <c r="J506" s="3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row>
    <row r="507" spans="2:41" x14ac:dyDescent="0.2">
      <c r="B507" s="128"/>
      <c r="C507" s="128"/>
      <c r="D507" s="176"/>
      <c r="E507" s="128"/>
      <c r="F507" s="128"/>
      <c r="G507" s="128"/>
      <c r="H507" s="128"/>
      <c r="I507" s="128"/>
      <c r="J507" s="3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row>
    <row r="508" spans="2:41" x14ac:dyDescent="0.2">
      <c r="B508" s="128"/>
      <c r="C508" s="128"/>
      <c r="D508" s="176"/>
      <c r="E508" s="128"/>
      <c r="F508" s="128"/>
      <c r="G508" s="128"/>
      <c r="H508" s="128"/>
      <c r="I508" s="128"/>
      <c r="J508" s="3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row>
    <row r="509" spans="2:41" x14ac:dyDescent="0.2">
      <c r="B509" s="128"/>
      <c r="C509" s="128"/>
      <c r="D509" s="176"/>
      <c r="E509" s="128"/>
      <c r="F509" s="128"/>
      <c r="G509" s="128"/>
      <c r="H509" s="128"/>
      <c r="I509" s="128"/>
      <c r="J509" s="3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row>
    <row r="510" spans="2:41" x14ac:dyDescent="0.2">
      <c r="B510" s="128"/>
      <c r="C510" s="128"/>
      <c r="D510" s="176"/>
      <c r="E510" s="128"/>
      <c r="F510" s="128"/>
      <c r="G510" s="128"/>
      <c r="H510" s="128"/>
      <c r="I510" s="128"/>
      <c r="J510" s="3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row>
    <row r="511" spans="2:41" x14ac:dyDescent="0.2">
      <c r="B511" s="128"/>
      <c r="C511" s="128"/>
      <c r="D511" s="176"/>
      <c r="E511" s="128"/>
      <c r="F511" s="128"/>
      <c r="G511" s="128"/>
      <c r="H511" s="128"/>
      <c r="I511" s="128"/>
      <c r="J511" s="3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row>
    <row r="512" spans="2:41" x14ac:dyDescent="0.2">
      <c r="B512" s="128"/>
      <c r="C512" s="128"/>
      <c r="D512" s="176"/>
      <c r="E512" s="128"/>
      <c r="F512" s="128"/>
      <c r="G512" s="128"/>
      <c r="H512" s="128"/>
      <c r="I512" s="128"/>
      <c r="J512" s="3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row>
  </sheetData>
  <sheetProtection password="CF27" sheet="1" objects="1" scenarios="1"/>
  <mergeCells count="13">
    <mergeCell ref="B171:B194"/>
    <mergeCell ref="B199:B222"/>
    <mergeCell ref="B227:B250"/>
    <mergeCell ref="B255:B278"/>
    <mergeCell ref="Q255:U255"/>
    <mergeCell ref="B143:B166"/>
    <mergeCell ref="AC3:AD3"/>
    <mergeCell ref="B31:B54"/>
    <mergeCell ref="B59:B82"/>
    <mergeCell ref="B87:B110"/>
    <mergeCell ref="B115:B138"/>
    <mergeCell ref="B28:AB28"/>
    <mergeCell ref="B21:B27"/>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AA127"/>
  <sheetViews>
    <sheetView topLeftCell="B6" zoomScale="80" zoomScaleNormal="80" workbookViewId="0">
      <selection activeCell="E27" sqref="E27"/>
    </sheetView>
  </sheetViews>
  <sheetFormatPr defaultRowHeight="12.75" x14ac:dyDescent="0.2"/>
  <cols>
    <col min="1" max="1" width="16.7109375" customWidth="1"/>
    <col min="5" max="5" width="10.7109375" customWidth="1"/>
    <col min="6" max="6" width="16.5703125" customWidth="1"/>
    <col min="10" max="10" width="10.7109375" customWidth="1"/>
  </cols>
  <sheetData>
    <row r="1" spans="1:27" x14ac:dyDescent="0.2">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x14ac:dyDescent="0.2">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row>
    <row r="3" spans="1:27" x14ac:dyDescent="0.2">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x14ac:dyDescent="0.2">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row>
    <row r="6" spans="1:27"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x14ac:dyDescent="0.2">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x14ac:dyDescent="0.2">
      <c r="A10" s="128"/>
      <c r="B10" s="128"/>
      <c r="C10" s="128"/>
      <c r="D10" s="128"/>
      <c r="E10" s="128"/>
      <c r="F10" s="183" t="s">
        <v>174</v>
      </c>
      <c r="G10" s="128"/>
      <c r="H10" s="128"/>
      <c r="I10" s="128"/>
      <c r="J10" s="128"/>
      <c r="K10" s="128"/>
      <c r="L10" s="128"/>
      <c r="M10" s="128"/>
      <c r="N10" s="128"/>
      <c r="O10" s="128"/>
      <c r="P10" s="128"/>
      <c r="Q10" s="128"/>
      <c r="R10" s="128"/>
      <c r="S10" s="128"/>
      <c r="T10" s="128"/>
      <c r="U10" s="128"/>
      <c r="V10" s="128"/>
      <c r="W10" s="128"/>
      <c r="X10" s="128"/>
      <c r="Y10" s="128"/>
      <c r="Z10" s="128"/>
      <c r="AA10" s="128"/>
    </row>
    <row r="11" spans="1:27" s="160" customFormat="1" ht="12.75" customHeight="1" x14ac:dyDescent="0.2">
      <c r="A11" s="509" t="s">
        <v>177</v>
      </c>
      <c r="B11" s="509"/>
      <c r="C11" s="154">
        <v>0.02</v>
      </c>
      <c r="D11" s="177" t="s">
        <v>170</v>
      </c>
      <c r="E11" s="221"/>
      <c r="F11" s="222">
        <v>2.1000000000000001E-2</v>
      </c>
      <c r="G11" s="221"/>
      <c r="H11" s="221"/>
      <c r="I11" s="221"/>
      <c r="J11" s="221"/>
      <c r="K11" s="221"/>
      <c r="L11" s="221"/>
      <c r="M11" s="221"/>
      <c r="N11" s="221"/>
      <c r="O11" s="221"/>
      <c r="P11" s="221"/>
      <c r="Q11" s="221"/>
      <c r="R11" s="221"/>
      <c r="S11" s="221"/>
      <c r="T11" s="221"/>
      <c r="U11" s="221"/>
      <c r="V11" s="221"/>
      <c r="W11" s="221"/>
      <c r="X11" s="221"/>
      <c r="Y11" s="221"/>
      <c r="Z11" s="221"/>
      <c r="AA11" s="221"/>
    </row>
    <row r="12" spans="1:27" x14ac:dyDescent="0.2">
      <c r="A12" s="509"/>
      <c r="B12" s="509"/>
      <c r="C12" s="161">
        <v>5.0000000000000001E-3</v>
      </c>
      <c r="D12" s="223" t="s">
        <v>168</v>
      </c>
      <c r="E12" s="128"/>
      <c r="F12" s="183">
        <v>5.0000000000000001E-3</v>
      </c>
      <c r="G12" s="128"/>
      <c r="H12" s="128"/>
      <c r="I12" s="128"/>
      <c r="J12" s="128"/>
      <c r="K12" s="128"/>
      <c r="L12" s="128"/>
      <c r="M12" s="128"/>
      <c r="N12" s="128"/>
      <c r="O12" s="128"/>
      <c r="P12" s="128"/>
      <c r="Q12" s="128"/>
      <c r="R12" s="128"/>
      <c r="S12" s="128"/>
      <c r="T12" s="128"/>
      <c r="U12" s="128"/>
      <c r="V12" s="128"/>
      <c r="W12" s="128"/>
      <c r="X12" s="128"/>
      <c r="Y12" s="128"/>
      <c r="Z12" s="128"/>
      <c r="AA12" s="128"/>
    </row>
    <row r="13" spans="1:27" x14ac:dyDescent="0.2">
      <c r="A13" s="509"/>
      <c r="B13" s="509"/>
      <c r="C13" s="232">
        <f>LN(1-C12)</f>
        <v>-5.0125418235442863E-3</v>
      </c>
      <c r="D13" s="128" t="s">
        <v>169</v>
      </c>
      <c r="E13" s="128"/>
      <c r="F13" s="224">
        <f>LN(1-F12)</f>
        <v>-5.0125418235442863E-3</v>
      </c>
      <c r="G13" s="128"/>
      <c r="H13" s="128"/>
      <c r="I13" s="128"/>
      <c r="J13" s="128"/>
      <c r="K13" s="128"/>
      <c r="L13" s="128"/>
      <c r="M13" s="128"/>
      <c r="N13" s="128"/>
      <c r="O13" s="128"/>
      <c r="P13" s="128"/>
      <c r="Q13" s="128"/>
      <c r="R13" s="128"/>
      <c r="S13" s="128"/>
      <c r="T13" s="128"/>
      <c r="U13" s="128"/>
      <c r="V13" s="128"/>
      <c r="W13" s="128"/>
      <c r="X13" s="128"/>
      <c r="Y13" s="128"/>
      <c r="Z13" s="128"/>
      <c r="AA13" s="128"/>
    </row>
    <row r="14" spans="1:27" x14ac:dyDescent="0.2">
      <c r="A14" s="509"/>
      <c r="B14" s="509"/>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x14ac:dyDescent="0.2">
      <c r="A15" s="509"/>
      <c r="B15" s="509"/>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x14ac:dyDescent="0.2">
      <c r="A16" s="509"/>
      <c r="B16" s="509"/>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51" x14ac:dyDescent="0.2">
      <c r="A17" s="128"/>
      <c r="B17" s="128"/>
      <c r="C17" s="176" t="s">
        <v>173</v>
      </c>
      <c r="D17" s="176" t="s">
        <v>171</v>
      </c>
      <c r="E17" s="225" t="s">
        <v>172</v>
      </c>
      <c r="F17" s="225" t="s">
        <v>191</v>
      </c>
      <c r="G17" s="128"/>
      <c r="H17" s="128"/>
      <c r="I17" s="128"/>
      <c r="J17" s="128"/>
      <c r="K17" s="128"/>
      <c r="L17" s="128"/>
      <c r="M17" s="128"/>
      <c r="N17" s="128"/>
      <c r="O17" s="128"/>
      <c r="P17" s="128"/>
      <c r="Q17" s="128"/>
      <c r="R17" s="128"/>
      <c r="S17" s="128"/>
      <c r="T17" s="128"/>
      <c r="U17" s="128"/>
      <c r="V17" s="128"/>
      <c r="W17" s="128"/>
      <c r="X17" s="128"/>
      <c r="Y17" s="128"/>
      <c r="Z17" s="128"/>
      <c r="AA17" s="128"/>
    </row>
    <row r="18" spans="1:27" x14ac:dyDescent="0.2">
      <c r="A18" s="128"/>
      <c r="B18" s="128"/>
      <c r="C18" s="128">
        <v>0</v>
      </c>
      <c r="D18" s="128"/>
      <c r="E18" s="128"/>
      <c r="F18" s="180">
        <v>1</v>
      </c>
      <c r="G18" s="128">
        <v>1</v>
      </c>
      <c r="H18" s="226"/>
      <c r="I18" s="226"/>
      <c r="J18" s="128"/>
      <c r="K18" s="128"/>
      <c r="L18" s="128"/>
      <c r="M18" s="128"/>
      <c r="N18" s="128"/>
      <c r="O18" s="128"/>
      <c r="P18" s="128"/>
      <c r="Q18" s="128"/>
      <c r="R18" s="128"/>
      <c r="S18" s="128"/>
      <c r="T18" s="128"/>
      <c r="U18" s="128"/>
      <c r="V18" s="128"/>
      <c r="W18" s="128"/>
      <c r="X18" s="128"/>
      <c r="Y18" s="128"/>
      <c r="Z18" s="128"/>
      <c r="AA18" s="128"/>
    </row>
    <row r="19" spans="1:27" x14ac:dyDescent="0.2">
      <c r="A19" s="128"/>
      <c r="B19" s="128"/>
      <c r="C19" s="128">
        <v>1</v>
      </c>
      <c r="D19" s="227">
        <f t="shared" ref="D19:D30" si="0">IF(C19&lt;($J$34+1),$C$11,$C$13)</f>
        <v>0.02</v>
      </c>
      <c r="E19" s="125"/>
      <c r="F19" s="228">
        <f>(F18-(F18*E19))*EXP(D19*30)</f>
        <v>1.8221188003905089</v>
      </c>
      <c r="G19" s="128">
        <v>1</v>
      </c>
      <c r="H19" s="226"/>
      <c r="I19" s="226"/>
      <c r="J19" s="128"/>
      <c r="K19" s="128"/>
      <c r="L19" s="128"/>
      <c r="M19" s="128"/>
      <c r="N19" s="128"/>
      <c r="O19" s="128"/>
      <c r="P19" s="128"/>
      <c r="Q19" s="128"/>
      <c r="R19" s="128"/>
      <c r="S19" s="128"/>
      <c r="T19" s="128"/>
      <c r="U19" s="128"/>
      <c r="V19" s="128"/>
      <c r="W19" s="128"/>
      <c r="X19" s="128"/>
      <c r="Y19" s="128"/>
      <c r="Z19" s="128"/>
      <c r="AA19" s="128"/>
    </row>
    <row r="20" spans="1:27" x14ac:dyDescent="0.2">
      <c r="A20" s="128"/>
      <c r="B20" s="128"/>
      <c r="C20" s="128">
        <v>2</v>
      </c>
      <c r="D20" s="227">
        <f t="shared" si="0"/>
        <v>0.02</v>
      </c>
      <c r="E20" s="125"/>
      <c r="F20" s="228">
        <f>(F19-(F19*E20))*EXP(D20*30)</f>
        <v>3.3201169227365472</v>
      </c>
      <c r="G20" s="128">
        <v>1</v>
      </c>
      <c r="H20" s="226"/>
      <c r="I20" s="226"/>
      <c r="J20" s="128"/>
      <c r="K20" s="128"/>
      <c r="L20" s="128"/>
      <c r="M20" s="128"/>
      <c r="N20" s="128"/>
      <c r="O20" s="128"/>
      <c r="P20" s="128"/>
      <c r="Q20" s="128"/>
      <c r="R20" s="128"/>
      <c r="S20" s="128"/>
      <c r="T20" s="128"/>
      <c r="U20" s="128"/>
      <c r="V20" s="128"/>
      <c r="W20" s="128"/>
      <c r="X20" s="128"/>
      <c r="Y20" s="128"/>
      <c r="Z20" s="128"/>
      <c r="AA20" s="128"/>
    </row>
    <row r="21" spans="1:27" x14ac:dyDescent="0.2">
      <c r="A21" s="128"/>
      <c r="B21" s="128"/>
      <c r="C21" s="128">
        <v>3</v>
      </c>
      <c r="D21" s="227">
        <f t="shared" si="0"/>
        <v>0.02</v>
      </c>
      <c r="E21" s="125">
        <v>0.9</v>
      </c>
      <c r="F21" s="228">
        <f>(F20-(F20*E21))*EXP(D21*30)</f>
        <v>0.60496474644129405</v>
      </c>
      <c r="G21" s="128">
        <v>1</v>
      </c>
      <c r="H21" s="226"/>
      <c r="I21" s="226"/>
      <c r="J21" s="128"/>
      <c r="K21" s="128"/>
      <c r="L21" s="128"/>
      <c r="M21" s="128"/>
      <c r="N21" s="128"/>
      <c r="O21" s="128"/>
      <c r="P21" s="128"/>
      <c r="Q21" s="128"/>
      <c r="R21" s="128"/>
      <c r="S21" s="128"/>
      <c r="T21" s="128"/>
      <c r="U21" s="128"/>
      <c r="V21" s="128"/>
      <c r="W21" s="128"/>
      <c r="X21" s="128"/>
      <c r="Y21" s="128"/>
      <c r="Z21" s="128"/>
      <c r="AA21" s="128"/>
    </row>
    <row r="22" spans="1:27" x14ac:dyDescent="0.2">
      <c r="A22" s="128"/>
      <c r="B22" s="128"/>
      <c r="C22" s="128">
        <v>4</v>
      </c>
      <c r="D22" s="227">
        <f t="shared" si="0"/>
        <v>0.02</v>
      </c>
      <c r="E22" s="125"/>
      <c r="F22" s="228">
        <f t="shared" ref="F22:F30" si="1">(F21-(F21*E22))*EXP(D22*30)</f>
        <v>1.1023176380641591</v>
      </c>
      <c r="G22" s="128">
        <v>1</v>
      </c>
      <c r="H22" s="226"/>
      <c r="I22" s="226"/>
      <c r="J22" s="128"/>
      <c r="K22" s="128"/>
      <c r="L22" s="128"/>
      <c r="M22" s="128"/>
      <c r="N22" s="128"/>
      <c r="O22" s="128"/>
      <c r="P22" s="128"/>
      <c r="Q22" s="128"/>
      <c r="R22" s="128"/>
      <c r="S22" s="128"/>
      <c r="T22" s="128"/>
      <c r="U22" s="128"/>
      <c r="V22" s="128"/>
      <c r="W22" s="128"/>
      <c r="X22" s="128"/>
      <c r="Y22" s="128"/>
      <c r="Z22" s="128"/>
      <c r="AA22" s="128"/>
    </row>
    <row r="23" spans="1:27" x14ac:dyDescent="0.2">
      <c r="A23" s="128"/>
      <c r="B23" s="128"/>
      <c r="C23" s="128">
        <v>5</v>
      </c>
      <c r="D23" s="227">
        <f t="shared" si="0"/>
        <v>0.02</v>
      </c>
      <c r="E23" s="125"/>
      <c r="F23" s="228">
        <f t="shared" si="1"/>
        <v>2.0085536923187646</v>
      </c>
      <c r="G23" s="128">
        <v>1</v>
      </c>
      <c r="H23" s="226"/>
      <c r="I23" s="226"/>
      <c r="J23" s="128"/>
      <c r="K23" s="128"/>
      <c r="L23" s="128"/>
      <c r="M23" s="128"/>
      <c r="N23" s="128"/>
      <c r="O23" s="128"/>
      <c r="P23" s="128"/>
      <c r="Q23" s="128"/>
      <c r="R23" s="128"/>
      <c r="S23" s="128"/>
      <c r="T23" s="128"/>
      <c r="U23" s="128"/>
      <c r="V23" s="128"/>
      <c r="W23" s="128"/>
      <c r="X23" s="128"/>
      <c r="Y23" s="128"/>
      <c r="Z23" s="128"/>
      <c r="AA23" s="128"/>
    </row>
    <row r="24" spans="1:27" x14ac:dyDescent="0.2">
      <c r="A24" s="128"/>
      <c r="B24" s="128"/>
      <c r="C24" s="128">
        <v>6</v>
      </c>
      <c r="D24" s="227">
        <f t="shared" si="0"/>
        <v>0.02</v>
      </c>
      <c r="E24" s="125">
        <v>0.9</v>
      </c>
      <c r="F24" s="228">
        <f t="shared" si="1"/>
        <v>0.36598234443677935</v>
      </c>
      <c r="G24" s="128">
        <v>1</v>
      </c>
      <c r="H24" s="226"/>
      <c r="I24" s="226"/>
      <c r="J24" s="128"/>
      <c r="K24" s="128"/>
      <c r="L24" s="128"/>
      <c r="M24" s="128"/>
      <c r="N24" s="128"/>
      <c r="O24" s="128"/>
      <c r="P24" s="128"/>
      <c r="Q24" s="128"/>
      <c r="R24" s="128"/>
      <c r="S24" s="128"/>
      <c r="T24" s="128"/>
      <c r="U24" s="128"/>
      <c r="V24" s="128"/>
      <c r="W24" s="128"/>
      <c r="X24" s="128"/>
      <c r="Y24" s="128"/>
      <c r="Z24" s="128"/>
      <c r="AA24" s="128"/>
    </row>
    <row r="25" spans="1:27" x14ac:dyDescent="0.2">
      <c r="A25" s="128"/>
      <c r="B25" s="128"/>
      <c r="C25" s="128">
        <v>7</v>
      </c>
      <c r="D25" s="227">
        <f t="shared" si="0"/>
        <v>0.02</v>
      </c>
      <c r="E25" s="125"/>
      <c r="F25" s="228">
        <f t="shared" si="1"/>
        <v>0.6668633104092504</v>
      </c>
      <c r="G25" s="128">
        <v>1</v>
      </c>
      <c r="H25" s="226"/>
      <c r="I25" s="226"/>
      <c r="J25" s="128"/>
      <c r="K25" s="128"/>
      <c r="L25" s="128"/>
      <c r="M25" s="128"/>
      <c r="N25" s="128"/>
      <c r="O25" s="128"/>
      <c r="P25" s="128"/>
      <c r="Q25" s="128"/>
      <c r="R25" s="128"/>
      <c r="S25" s="128"/>
      <c r="T25" s="128"/>
      <c r="U25" s="128"/>
      <c r="V25" s="128"/>
      <c r="W25" s="128"/>
      <c r="X25" s="128"/>
      <c r="Y25" s="128"/>
      <c r="Z25" s="128"/>
      <c r="AA25" s="128"/>
    </row>
    <row r="26" spans="1:27" x14ac:dyDescent="0.2">
      <c r="A26" s="128"/>
      <c r="B26" s="128"/>
      <c r="C26" s="128">
        <v>8</v>
      </c>
      <c r="D26" s="227">
        <f t="shared" si="0"/>
        <v>0.02</v>
      </c>
      <c r="E26" s="125">
        <v>0.9</v>
      </c>
      <c r="F26" s="228">
        <f t="shared" si="1"/>
        <v>0.12151041751873468</v>
      </c>
      <c r="G26" s="128">
        <v>1</v>
      </c>
      <c r="H26" s="226"/>
      <c r="I26" s="226"/>
      <c r="J26" s="128"/>
      <c r="K26" s="128"/>
      <c r="L26" s="128"/>
      <c r="M26" s="128"/>
      <c r="N26" s="128"/>
      <c r="O26" s="128"/>
      <c r="P26" s="128"/>
      <c r="Q26" s="128"/>
      <c r="R26" s="128"/>
      <c r="S26" s="128"/>
      <c r="T26" s="128"/>
      <c r="U26" s="128"/>
      <c r="V26" s="128"/>
      <c r="W26" s="128"/>
      <c r="X26" s="128"/>
      <c r="Y26" s="128"/>
      <c r="Z26" s="128"/>
      <c r="AA26" s="128"/>
    </row>
    <row r="27" spans="1:27" x14ac:dyDescent="0.2">
      <c r="A27" s="128"/>
      <c r="B27" s="128"/>
      <c r="C27" s="128">
        <v>9</v>
      </c>
      <c r="D27" s="227">
        <f t="shared" si="0"/>
        <v>0.02</v>
      </c>
      <c r="E27" s="125"/>
      <c r="F27" s="228">
        <f t="shared" si="1"/>
        <v>0.22140641620418669</v>
      </c>
      <c r="G27" s="128">
        <v>1</v>
      </c>
      <c r="H27" s="226"/>
      <c r="I27" s="226"/>
      <c r="J27" s="128"/>
      <c r="K27" s="128"/>
      <c r="L27" s="128"/>
      <c r="M27" s="128"/>
      <c r="N27" s="128"/>
      <c r="O27" s="128"/>
      <c r="P27" s="128"/>
      <c r="Q27" s="128"/>
      <c r="R27" s="128"/>
      <c r="S27" s="128"/>
      <c r="T27" s="128"/>
      <c r="U27" s="128"/>
      <c r="V27" s="128"/>
      <c r="W27" s="128"/>
      <c r="X27" s="128"/>
      <c r="Y27" s="128"/>
      <c r="Z27" s="128"/>
      <c r="AA27" s="128"/>
    </row>
    <row r="28" spans="1:27" x14ac:dyDescent="0.2">
      <c r="A28" s="128"/>
      <c r="B28" s="128"/>
      <c r="C28" s="128">
        <v>10</v>
      </c>
      <c r="D28" s="227">
        <f t="shared" si="0"/>
        <v>0.02</v>
      </c>
      <c r="E28" s="125"/>
      <c r="F28" s="228">
        <f>(F27-(F27*E28))*EXP(D28*30)</f>
        <v>0.40342879349273436</v>
      </c>
      <c r="G28" s="128">
        <v>1</v>
      </c>
      <c r="H28" s="226"/>
      <c r="I28" s="226"/>
      <c r="J28" s="128"/>
      <c r="K28" s="128"/>
      <c r="L28" s="128"/>
      <c r="M28" s="128"/>
      <c r="N28" s="128"/>
      <c r="O28" s="128"/>
      <c r="P28" s="128"/>
      <c r="Q28" s="128"/>
      <c r="R28" s="128"/>
      <c r="S28" s="128"/>
      <c r="T28" s="128"/>
      <c r="U28" s="128"/>
      <c r="V28" s="128"/>
      <c r="W28" s="128"/>
      <c r="X28" s="128"/>
      <c r="Y28" s="128"/>
      <c r="Z28" s="128"/>
      <c r="AA28" s="128"/>
    </row>
    <row r="29" spans="1:27" ht="13.5" thickBot="1" x14ac:dyDescent="0.25">
      <c r="A29" s="128"/>
      <c r="B29" s="128"/>
      <c r="C29" s="128">
        <v>11</v>
      </c>
      <c r="D29" s="227">
        <f t="shared" si="0"/>
        <v>0.02</v>
      </c>
      <c r="E29" s="125"/>
      <c r="F29" s="229">
        <f t="shared" si="1"/>
        <v>0.73509518924197148</v>
      </c>
      <c r="G29" s="128">
        <v>1</v>
      </c>
      <c r="H29" s="226"/>
      <c r="I29" s="226"/>
      <c r="J29" s="128"/>
      <c r="K29" s="128"/>
      <c r="L29" s="128"/>
      <c r="M29" s="128"/>
      <c r="N29" s="128"/>
      <c r="O29" s="128"/>
      <c r="P29" s="128"/>
      <c r="Q29" s="128"/>
      <c r="R29" s="128"/>
      <c r="S29" s="128"/>
      <c r="T29" s="128"/>
      <c r="U29" s="128"/>
      <c r="V29" s="128"/>
      <c r="W29" s="128"/>
      <c r="X29" s="128"/>
      <c r="Y29" s="128"/>
      <c r="Z29" s="128"/>
      <c r="AA29" s="128"/>
    </row>
    <row r="30" spans="1:27" ht="14.25" thickTop="1" thickBot="1" x14ac:dyDescent="0.25">
      <c r="A30" s="128"/>
      <c r="B30" s="128"/>
      <c r="C30" s="128">
        <v>12</v>
      </c>
      <c r="D30" s="227">
        <f t="shared" si="0"/>
        <v>0.02</v>
      </c>
      <c r="E30" s="174"/>
      <c r="F30" s="230">
        <f t="shared" si="1"/>
        <v>1.3394307643944152</v>
      </c>
      <c r="G30" s="231">
        <v>1</v>
      </c>
      <c r="H30" s="226"/>
      <c r="I30" s="226"/>
      <c r="J30" s="128"/>
      <c r="K30" s="128"/>
      <c r="L30" s="128"/>
      <c r="M30" s="128"/>
      <c r="N30" s="128"/>
      <c r="O30" s="128"/>
      <c r="P30" s="128"/>
      <c r="Q30" s="128"/>
      <c r="R30" s="128"/>
      <c r="S30" s="128"/>
      <c r="T30" s="128"/>
      <c r="U30" s="128"/>
      <c r="V30" s="128"/>
      <c r="W30" s="128"/>
      <c r="X30" s="128"/>
      <c r="Y30" s="128"/>
      <c r="Z30" s="128"/>
      <c r="AA30" s="128"/>
    </row>
    <row r="31" spans="1:27" ht="12.6" customHeight="1" thickTop="1" x14ac:dyDescent="0.2">
      <c r="A31" s="128"/>
      <c r="B31" s="128"/>
      <c r="C31" s="128"/>
      <c r="D31" s="128"/>
      <c r="E31" s="505" t="s">
        <v>175</v>
      </c>
      <c r="F31" s="510" t="s">
        <v>192</v>
      </c>
      <c r="G31" s="128"/>
      <c r="H31" s="128"/>
      <c r="I31" s="128"/>
      <c r="J31" s="128"/>
      <c r="K31" s="128"/>
      <c r="L31" s="128"/>
      <c r="M31" s="128"/>
      <c r="N31" s="128"/>
      <c r="O31" s="128"/>
      <c r="P31" s="128"/>
      <c r="Q31" s="128"/>
      <c r="R31" s="128"/>
      <c r="S31" s="128"/>
      <c r="T31" s="128"/>
      <c r="U31" s="128"/>
      <c r="V31" s="128"/>
      <c r="W31" s="128"/>
      <c r="X31" s="128"/>
      <c r="Y31" s="128"/>
      <c r="Z31" s="128"/>
      <c r="AA31" s="128"/>
    </row>
    <row r="32" spans="1:27" ht="12.6" customHeight="1" x14ac:dyDescent="0.2">
      <c r="A32" s="128"/>
      <c r="B32" s="128"/>
      <c r="C32" s="128"/>
      <c r="D32" s="128"/>
      <c r="E32" s="506"/>
      <c r="F32" s="510"/>
      <c r="G32" s="128"/>
      <c r="H32" s="128"/>
      <c r="I32" s="128"/>
      <c r="J32" s="128"/>
      <c r="K32" s="128"/>
      <c r="L32" s="128"/>
      <c r="M32" s="128"/>
      <c r="N32" s="128"/>
      <c r="O32" s="128"/>
      <c r="P32" s="128"/>
      <c r="Q32" s="128"/>
      <c r="R32" s="128"/>
      <c r="S32" s="128"/>
      <c r="T32" s="128"/>
      <c r="U32" s="128"/>
      <c r="V32" s="128"/>
      <c r="W32" s="128"/>
      <c r="X32" s="128"/>
      <c r="Y32" s="128"/>
      <c r="Z32" s="128"/>
      <c r="AA32" s="128"/>
    </row>
    <row r="33" spans="1:27" ht="12.6" customHeight="1" x14ac:dyDescent="0.2">
      <c r="A33" s="128"/>
      <c r="B33" s="128"/>
      <c r="C33" s="128"/>
      <c r="D33" s="128"/>
      <c r="E33" s="506"/>
      <c r="F33" s="510"/>
      <c r="G33" s="128"/>
      <c r="H33" s="128"/>
      <c r="I33" s="128"/>
      <c r="J33" s="128"/>
      <c r="K33" s="128"/>
      <c r="L33" s="128"/>
      <c r="M33" s="128"/>
      <c r="N33" s="128"/>
      <c r="O33" s="128"/>
      <c r="P33" s="128"/>
      <c r="Q33" s="128"/>
      <c r="R33" s="128"/>
      <c r="S33" s="128"/>
      <c r="T33" s="128"/>
      <c r="U33" s="128"/>
      <c r="V33" s="128"/>
      <c r="W33" s="128"/>
      <c r="X33" s="128"/>
      <c r="Y33" s="128"/>
      <c r="Z33" s="128"/>
      <c r="AA33" s="128"/>
    </row>
    <row r="34" spans="1:27" x14ac:dyDescent="0.2">
      <c r="A34" s="128"/>
      <c r="B34" s="128"/>
      <c r="C34" s="128"/>
      <c r="D34" s="128"/>
      <c r="E34" s="506"/>
      <c r="F34" s="510"/>
      <c r="G34" s="128"/>
      <c r="H34" s="128"/>
      <c r="I34" s="128"/>
      <c r="J34" s="114">
        <v>12</v>
      </c>
      <c r="K34" s="128" t="s">
        <v>167</v>
      </c>
      <c r="L34" s="128"/>
      <c r="M34" s="128"/>
      <c r="N34" s="128"/>
      <c r="O34" s="128"/>
      <c r="P34" s="128"/>
      <c r="Q34" s="128"/>
      <c r="R34" s="128"/>
      <c r="S34" s="128"/>
      <c r="T34" s="128"/>
      <c r="U34" s="128"/>
      <c r="V34" s="128"/>
      <c r="W34" s="128"/>
      <c r="X34" s="128"/>
      <c r="Y34" s="128"/>
      <c r="Z34" s="128"/>
      <c r="AA34" s="128"/>
    </row>
    <row r="35" spans="1:27" ht="12.6" customHeight="1" x14ac:dyDescent="0.2">
      <c r="A35" s="128"/>
      <c r="B35" s="128"/>
      <c r="C35" s="128"/>
      <c r="D35" s="128"/>
      <c r="E35" s="506"/>
      <c r="F35" s="510"/>
      <c r="G35" s="128"/>
      <c r="H35" s="128"/>
      <c r="I35" s="128"/>
      <c r="J35" s="507" t="s">
        <v>176</v>
      </c>
      <c r="K35" s="128"/>
      <c r="L35" s="128"/>
      <c r="M35" s="128"/>
      <c r="N35" s="128"/>
      <c r="O35" s="128"/>
      <c r="P35" s="128"/>
      <c r="Q35" s="128"/>
      <c r="R35" s="128"/>
      <c r="S35" s="128"/>
      <c r="T35" s="128"/>
      <c r="U35" s="128"/>
      <c r="V35" s="128"/>
      <c r="W35" s="128"/>
      <c r="X35" s="128"/>
      <c r="Y35" s="128"/>
      <c r="Z35" s="128"/>
      <c r="AA35" s="128"/>
    </row>
    <row r="36" spans="1:27" ht="12.6" customHeight="1" x14ac:dyDescent="0.2">
      <c r="A36" s="128"/>
      <c r="B36" s="128"/>
      <c r="C36" s="128"/>
      <c r="D36" s="128"/>
      <c r="E36" s="506"/>
      <c r="F36" s="510"/>
      <c r="G36" s="128"/>
      <c r="H36" s="128"/>
      <c r="I36" s="128"/>
      <c r="J36" s="508"/>
      <c r="K36" s="128"/>
      <c r="L36" s="128"/>
      <c r="M36" s="128"/>
      <c r="N36" s="128"/>
      <c r="O36" s="128"/>
      <c r="P36" s="128"/>
      <c r="Q36" s="128"/>
      <c r="R36" s="128"/>
      <c r="S36" s="128"/>
      <c r="T36" s="128"/>
      <c r="U36" s="128"/>
      <c r="V36" s="128"/>
      <c r="W36" s="128"/>
      <c r="X36" s="128"/>
      <c r="Y36" s="128"/>
      <c r="Z36" s="128"/>
      <c r="AA36" s="128"/>
    </row>
    <row r="37" spans="1:27" ht="12.6" customHeight="1" x14ac:dyDescent="0.2">
      <c r="A37" s="128"/>
      <c r="B37" s="128"/>
      <c r="C37" s="128"/>
      <c r="D37" s="128"/>
      <c r="E37" s="506"/>
      <c r="F37" s="510"/>
      <c r="G37" s="128"/>
      <c r="H37" s="128"/>
      <c r="I37" s="128"/>
      <c r="J37" s="508"/>
      <c r="K37" s="128"/>
      <c r="L37" s="128"/>
      <c r="M37" s="128"/>
      <c r="N37" s="128"/>
      <c r="O37" s="128"/>
      <c r="P37" s="128"/>
      <c r="Q37" s="128"/>
      <c r="R37" s="128"/>
      <c r="S37" s="128"/>
      <c r="T37" s="128"/>
      <c r="U37" s="128"/>
      <c r="V37" s="128"/>
      <c r="W37" s="128"/>
      <c r="X37" s="128"/>
      <c r="Y37" s="128"/>
      <c r="Z37" s="128"/>
      <c r="AA37" s="128"/>
    </row>
    <row r="38" spans="1:27" x14ac:dyDescent="0.2">
      <c r="A38" s="128"/>
      <c r="B38" s="128"/>
      <c r="C38" s="128"/>
      <c r="D38" s="128"/>
      <c r="E38" s="128"/>
      <c r="F38" s="128"/>
      <c r="G38" s="128"/>
      <c r="H38" s="128"/>
      <c r="I38" s="128"/>
      <c r="J38" s="508"/>
      <c r="K38" s="128"/>
      <c r="L38" s="128"/>
      <c r="M38" s="128"/>
      <c r="N38" s="128"/>
      <c r="O38" s="128"/>
      <c r="P38" s="128"/>
      <c r="Q38" s="128"/>
      <c r="R38" s="128"/>
      <c r="S38" s="128"/>
      <c r="T38" s="128"/>
      <c r="U38" s="128"/>
      <c r="V38" s="128"/>
      <c r="W38" s="128"/>
      <c r="X38" s="128"/>
      <c r="Y38" s="128"/>
      <c r="Z38" s="128"/>
      <c r="AA38" s="128"/>
    </row>
    <row r="39" spans="1:27" x14ac:dyDescent="0.2">
      <c r="A39" s="128"/>
      <c r="B39" s="128"/>
      <c r="C39" s="128"/>
      <c r="D39" s="128"/>
      <c r="E39" s="128"/>
      <c r="F39" s="128"/>
      <c r="G39" s="128"/>
      <c r="H39" s="128"/>
      <c r="I39" s="128"/>
      <c r="J39" s="508"/>
      <c r="K39" s="128"/>
      <c r="L39" s="128"/>
      <c r="M39" s="128"/>
      <c r="N39" s="128"/>
      <c r="O39" s="128"/>
      <c r="P39" s="128"/>
      <c r="Q39" s="128"/>
      <c r="R39" s="128"/>
      <c r="S39" s="128"/>
      <c r="T39" s="128"/>
      <c r="U39" s="128"/>
      <c r="V39" s="128"/>
      <c r="W39" s="128"/>
      <c r="X39" s="128"/>
      <c r="Y39" s="128"/>
      <c r="Z39" s="128"/>
      <c r="AA39" s="128"/>
    </row>
    <row r="40" spans="1:27" x14ac:dyDescent="0.2">
      <c r="A40" s="128"/>
      <c r="B40" s="128"/>
      <c r="C40" s="128"/>
      <c r="D40" s="128"/>
      <c r="E40" s="128"/>
      <c r="F40" s="128"/>
      <c r="G40" s="128"/>
      <c r="H40" s="128"/>
      <c r="I40" s="128"/>
      <c r="J40" s="508"/>
      <c r="K40" s="128"/>
      <c r="L40" s="128"/>
      <c r="M40" s="128"/>
      <c r="N40" s="128"/>
      <c r="O40" s="128"/>
      <c r="P40" s="128"/>
      <c r="Q40" s="128"/>
      <c r="R40" s="128"/>
      <c r="S40" s="128"/>
      <c r="T40" s="128"/>
      <c r="U40" s="128"/>
      <c r="V40" s="128"/>
      <c r="W40" s="128"/>
      <c r="X40" s="128"/>
      <c r="Y40" s="128"/>
      <c r="Z40" s="128"/>
      <c r="AA40" s="128"/>
    </row>
    <row r="41" spans="1:27" x14ac:dyDescent="0.2">
      <c r="A41" s="194" t="s">
        <v>193</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x14ac:dyDescent="0.2">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x14ac:dyDescent="0.2">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x14ac:dyDescent="0.2">
      <c r="A44" s="128"/>
      <c r="B44" s="128"/>
      <c r="C44" s="128"/>
      <c r="D44" s="128"/>
      <c r="E44" s="233">
        <v>5.0000000000000001E-3</v>
      </c>
      <c r="F44" s="503" t="s">
        <v>197</v>
      </c>
      <c r="G44" s="504"/>
      <c r="H44" s="504"/>
      <c r="I44" s="504"/>
      <c r="J44" s="504"/>
      <c r="K44" s="504"/>
      <c r="L44" s="504"/>
      <c r="M44" s="504"/>
      <c r="N44" s="128"/>
      <c r="O44" s="128"/>
      <c r="P44" s="128"/>
      <c r="Q44" s="128"/>
      <c r="R44" s="128"/>
      <c r="S44" s="128"/>
      <c r="T44" s="128"/>
      <c r="U44" s="128"/>
      <c r="V44" s="128"/>
      <c r="W44" s="128"/>
      <c r="X44" s="128"/>
      <c r="Y44" s="128"/>
      <c r="Z44" s="128"/>
      <c r="AA44" s="128"/>
    </row>
    <row r="45" spans="1:27" x14ac:dyDescent="0.2">
      <c r="A45" s="128"/>
      <c r="B45" s="511" t="s">
        <v>339</v>
      </c>
      <c r="C45" s="511"/>
      <c r="D45" s="128"/>
      <c r="E45" s="128"/>
      <c r="F45" s="502" t="s">
        <v>196</v>
      </c>
      <c r="G45" s="502"/>
      <c r="H45" s="502"/>
      <c r="I45" s="502"/>
      <c r="J45" s="502"/>
      <c r="K45" s="502"/>
      <c r="L45" s="128"/>
      <c r="M45" s="128"/>
      <c r="N45" s="128"/>
      <c r="O45" s="128"/>
      <c r="P45" s="128"/>
      <c r="Q45" s="128"/>
      <c r="R45" s="128"/>
      <c r="S45" s="128"/>
      <c r="T45" s="128"/>
      <c r="U45" s="128"/>
      <c r="V45" s="128"/>
      <c r="W45" s="128"/>
      <c r="X45" s="128"/>
      <c r="Y45" s="128"/>
      <c r="Z45" s="128"/>
      <c r="AA45" s="128"/>
    </row>
    <row r="46" spans="1:27" x14ac:dyDescent="0.2">
      <c r="A46" s="128"/>
      <c r="B46" s="352" t="s">
        <v>337</v>
      </c>
      <c r="C46" s="352" t="s">
        <v>338</v>
      </c>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row>
    <row r="47" spans="1:27" x14ac:dyDescent="0.2">
      <c r="A47" s="128"/>
      <c r="B47" s="207">
        <v>0</v>
      </c>
      <c r="C47" s="354">
        <v>100</v>
      </c>
      <c r="D47" s="128"/>
      <c r="E47" s="128"/>
      <c r="F47" s="128"/>
      <c r="G47" s="128"/>
      <c r="H47" s="128"/>
      <c r="I47" s="128"/>
      <c r="J47" s="128"/>
      <c r="K47" s="128"/>
      <c r="L47" s="128"/>
      <c r="M47" s="128"/>
      <c r="N47" s="128"/>
      <c r="O47" s="128"/>
      <c r="P47" s="226"/>
      <c r="Q47" s="128"/>
      <c r="R47" s="128"/>
      <c r="S47" s="128"/>
      <c r="T47" s="128"/>
      <c r="U47" s="128"/>
      <c r="V47" s="128"/>
      <c r="W47" s="128"/>
      <c r="X47" s="128"/>
      <c r="Y47" s="128"/>
      <c r="Z47" s="128"/>
      <c r="AA47" s="128"/>
    </row>
    <row r="48" spans="1:27" x14ac:dyDescent="0.2">
      <c r="A48" s="128"/>
      <c r="B48" s="207">
        <f t="shared" ref="B48:B67" si="2">B47+15</f>
        <v>15</v>
      </c>
      <c r="C48" s="353">
        <f>C47*EXP(-$E$44*15)</f>
        <v>92.774348632855279</v>
      </c>
      <c r="D48" s="128"/>
      <c r="E48" s="128"/>
      <c r="F48" s="128"/>
      <c r="G48" s="128"/>
      <c r="H48" s="128"/>
      <c r="I48" s="128"/>
      <c r="J48" s="128"/>
      <c r="K48" s="128"/>
      <c r="L48" s="128"/>
      <c r="M48" s="128"/>
      <c r="N48" s="128"/>
      <c r="O48" s="128"/>
      <c r="P48" s="226"/>
      <c r="Q48" s="128"/>
      <c r="R48" s="128"/>
      <c r="S48" s="128"/>
      <c r="T48" s="128"/>
      <c r="U48" s="128"/>
      <c r="V48" s="128"/>
      <c r="W48" s="128"/>
      <c r="X48" s="128"/>
      <c r="Y48" s="128"/>
      <c r="Z48" s="128"/>
      <c r="AA48" s="128"/>
    </row>
    <row r="49" spans="1:27" x14ac:dyDescent="0.2">
      <c r="A49" s="128"/>
      <c r="B49" s="207">
        <f t="shared" si="2"/>
        <v>30</v>
      </c>
      <c r="C49" s="353">
        <f t="shared" ref="C49:C67" si="3">C48*EXP(-$E$44*15)</f>
        <v>86.070797642505767</v>
      </c>
      <c r="D49" s="128"/>
      <c r="E49" s="128"/>
      <c r="F49" s="128"/>
      <c r="G49" s="128"/>
      <c r="H49" s="128"/>
      <c r="I49" s="128"/>
      <c r="J49" s="128"/>
      <c r="K49" s="128"/>
      <c r="L49" s="128"/>
      <c r="M49" s="128"/>
      <c r="N49" s="128"/>
      <c r="O49" s="128"/>
      <c r="P49" s="226"/>
      <c r="Q49" s="128"/>
      <c r="R49" s="128"/>
      <c r="S49" s="128"/>
      <c r="T49" s="128"/>
      <c r="U49" s="128"/>
      <c r="V49" s="128"/>
      <c r="W49" s="128"/>
      <c r="X49" s="128"/>
      <c r="Y49" s="128"/>
      <c r="Z49" s="128"/>
      <c r="AA49" s="128"/>
    </row>
    <row r="50" spans="1:27" x14ac:dyDescent="0.2">
      <c r="A50" s="128"/>
      <c r="B50" s="207">
        <f t="shared" si="2"/>
        <v>45</v>
      </c>
      <c r="C50" s="353">
        <f t="shared" si="3"/>
        <v>79.851621875937681</v>
      </c>
      <c r="D50" s="128"/>
      <c r="E50" s="128"/>
      <c r="F50" s="128"/>
      <c r="G50" s="128"/>
      <c r="H50" s="128"/>
      <c r="I50" s="128"/>
      <c r="J50" s="128"/>
      <c r="K50" s="128"/>
      <c r="L50" s="128"/>
      <c r="M50" s="128"/>
      <c r="N50" s="128"/>
      <c r="O50" s="128"/>
      <c r="P50" s="226"/>
      <c r="Q50" s="128"/>
      <c r="R50" s="128"/>
      <c r="S50" s="128"/>
      <c r="T50" s="128"/>
      <c r="U50" s="128"/>
      <c r="V50" s="128"/>
      <c r="W50" s="128"/>
      <c r="X50" s="128"/>
      <c r="Y50" s="128"/>
      <c r="Z50" s="128"/>
      <c r="AA50" s="128"/>
    </row>
    <row r="51" spans="1:27" x14ac:dyDescent="0.2">
      <c r="A51" s="128"/>
      <c r="B51" s="207">
        <f t="shared" si="2"/>
        <v>60</v>
      </c>
      <c r="C51" s="353">
        <f t="shared" si="3"/>
        <v>74.081822068171761</v>
      </c>
      <c r="D51" s="128"/>
      <c r="E51" s="128"/>
      <c r="F51" s="128"/>
      <c r="G51" s="128"/>
      <c r="H51" s="128"/>
      <c r="I51" s="128"/>
      <c r="J51" s="128"/>
      <c r="K51" s="128"/>
      <c r="L51" s="128"/>
      <c r="M51" s="128"/>
      <c r="N51" s="128"/>
      <c r="O51" s="128"/>
      <c r="P51" s="226"/>
      <c r="Q51" s="128"/>
      <c r="R51" s="128"/>
      <c r="S51" s="128"/>
      <c r="T51" s="128"/>
      <c r="U51" s="128"/>
      <c r="V51" s="128"/>
      <c r="W51" s="128"/>
      <c r="X51" s="128"/>
      <c r="Y51" s="128"/>
      <c r="Z51" s="128"/>
      <c r="AA51" s="128"/>
    </row>
    <row r="52" spans="1:27" x14ac:dyDescent="0.2">
      <c r="A52" s="128"/>
      <c r="B52" s="207">
        <f t="shared" si="2"/>
        <v>75</v>
      </c>
      <c r="C52" s="353">
        <f t="shared" si="3"/>
        <v>68.728927879097199</v>
      </c>
      <c r="D52" s="128"/>
      <c r="E52" s="128"/>
      <c r="F52" s="128"/>
      <c r="G52" s="128"/>
      <c r="H52" s="128"/>
      <c r="I52" s="128"/>
      <c r="J52" s="128"/>
      <c r="K52" s="128"/>
      <c r="L52" s="128"/>
      <c r="M52" s="128"/>
      <c r="N52" s="128"/>
      <c r="O52" s="128"/>
      <c r="P52" s="226"/>
      <c r="Q52" s="128"/>
      <c r="R52" s="128"/>
      <c r="S52" s="128"/>
      <c r="T52" s="128"/>
      <c r="U52" s="128"/>
      <c r="V52" s="128"/>
      <c r="W52" s="128"/>
      <c r="X52" s="128"/>
      <c r="Y52" s="128"/>
      <c r="Z52" s="128"/>
      <c r="AA52" s="128"/>
    </row>
    <row r="53" spans="1:27" x14ac:dyDescent="0.2">
      <c r="A53" s="128"/>
      <c r="B53" s="207">
        <f t="shared" si="2"/>
        <v>90</v>
      </c>
      <c r="C53" s="353">
        <f t="shared" si="3"/>
        <v>63.762815162177304</v>
      </c>
      <c r="D53" s="128"/>
      <c r="E53" s="128"/>
      <c r="F53" s="128"/>
      <c r="G53" s="128"/>
      <c r="H53" s="128"/>
      <c r="I53" s="128"/>
      <c r="J53" s="128"/>
      <c r="K53" s="128"/>
      <c r="L53" s="128"/>
      <c r="M53" s="128"/>
      <c r="N53" s="128"/>
      <c r="O53" s="128"/>
      <c r="P53" s="226"/>
      <c r="Q53" s="128"/>
      <c r="R53" s="128"/>
      <c r="S53" s="128"/>
      <c r="T53" s="128"/>
      <c r="U53" s="128"/>
      <c r="V53" s="128"/>
      <c r="W53" s="128"/>
      <c r="X53" s="128"/>
      <c r="Y53" s="128"/>
      <c r="Z53" s="128"/>
      <c r="AA53" s="128"/>
    </row>
    <row r="54" spans="1:27" x14ac:dyDescent="0.2">
      <c r="A54" s="128"/>
      <c r="B54" s="207">
        <f t="shared" si="2"/>
        <v>105</v>
      </c>
      <c r="C54" s="353">
        <f t="shared" si="3"/>
        <v>59.15553643668148</v>
      </c>
      <c r="D54" s="128"/>
      <c r="E54" s="128"/>
      <c r="F54" s="128"/>
      <c r="G54" s="128"/>
      <c r="H54" s="128"/>
      <c r="I54" s="128"/>
      <c r="J54" s="128"/>
      <c r="K54" s="128"/>
      <c r="L54" s="128"/>
      <c r="M54" s="128"/>
      <c r="N54" s="128"/>
      <c r="O54" s="128"/>
      <c r="P54" s="226"/>
      <c r="Q54" s="128"/>
      <c r="R54" s="128"/>
      <c r="S54" s="128"/>
      <c r="T54" s="128"/>
      <c r="U54" s="128"/>
      <c r="V54" s="128"/>
      <c r="W54" s="128"/>
      <c r="X54" s="128"/>
      <c r="Y54" s="128"/>
      <c r="Z54" s="128"/>
      <c r="AA54" s="128"/>
    </row>
    <row r="55" spans="1:27" x14ac:dyDescent="0.2">
      <c r="A55" s="128"/>
      <c r="B55" s="207">
        <f t="shared" si="2"/>
        <v>120</v>
      </c>
      <c r="C55" s="353">
        <f t="shared" si="3"/>
        <v>54.881163609402613</v>
      </c>
      <c r="D55" s="128"/>
      <c r="E55" s="128"/>
      <c r="F55" s="128"/>
      <c r="G55" s="128"/>
      <c r="H55" s="128"/>
      <c r="I55" s="128"/>
      <c r="J55" s="128"/>
      <c r="K55" s="128"/>
      <c r="L55" s="128"/>
      <c r="M55" s="128"/>
      <c r="N55" s="128"/>
      <c r="O55" s="128"/>
      <c r="P55" s="226"/>
      <c r="Q55" s="128"/>
      <c r="R55" s="128"/>
      <c r="S55" s="128"/>
      <c r="T55" s="128"/>
      <c r="U55" s="128"/>
      <c r="V55" s="128"/>
      <c r="W55" s="128"/>
      <c r="X55" s="128"/>
      <c r="Y55" s="128"/>
      <c r="Z55" s="128"/>
      <c r="AA55" s="128"/>
    </row>
    <row r="56" spans="1:27" x14ac:dyDescent="0.2">
      <c r="A56" s="128"/>
      <c r="B56" s="207">
        <f t="shared" si="2"/>
        <v>135</v>
      </c>
      <c r="C56" s="353">
        <f t="shared" si="3"/>
        <v>50.915642060754884</v>
      </c>
      <c r="D56" s="128"/>
      <c r="E56" s="128"/>
      <c r="F56" s="128"/>
      <c r="G56" s="128"/>
      <c r="H56" s="128"/>
      <c r="I56" s="128"/>
      <c r="J56" s="128"/>
      <c r="K56" s="128"/>
      <c r="L56" s="128"/>
      <c r="M56" s="128"/>
      <c r="N56" s="128"/>
      <c r="O56" s="128"/>
      <c r="P56" s="226"/>
      <c r="Q56" s="128"/>
      <c r="R56" s="128"/>
      <c r="S56" s="128"/>
      <c r="T56" s="128"/>
      <c r="U56" s="128"/>
      <c r="V56" s="128"/>
      <c r="W56" s="128"/>
      <c r="X56" s="128"/>
      <c r="Y56" s="128"/>
      <c r="Z56" s="128"/>
      <c r="AA56" s="128"/>
    </row>
    <row r="57" spans="1:27" x14ac:dyDescent="0.2">
      <c r="A57" s="128"/>
      <c r="B57" s="207">
        <f t="shared" si="2"/>
        <v>150</v>
      </c>
      <c r="C57" s="353">
        <f t="shared" si="3"/>
        <v>47.236655274101437</v>
      </c>
      <c r="D57" s="128"/>
      <c r="E57" s="128"/>
      <c r="F57" s="128"/>
      <c r="G57" s="128"/>
      <c r="H57" s="128"/>
      <c r="I57" s="128"/>
      <c r="J57" s="128"/>
      <c r="K57" s="128"/>
      <c r="L57" s="128"/>
      <c r="M57" s="128"/>
      <c r="N57" s="128"/>
      <c r="O57" s="128"/>
      <c r="P57" s="226"/>
      <c r="Q57" s="128"/>
      <c r="R57" s="128"/>
      <c r="S57" s="128"/>
      <c r="T57" s="128"/>
      <c r="U57" s="128"/>
      <c r="V57" s="128"/>
      <c r="W57" s="128"/>
      <c r="X57" s="128"/>
      <c r="Y57" s="128"/>
      <c r="Z57" s="128"/>
      <c r="AA57" s="128"/>
    </row>
    <row r="58" spans="1:27" x14ac:dyDescent="0.2">
      <c r="A58" s="128"/>
      <c r="B58" s="207">
        <f t="shared" si="2"/>
        <v>165</v>
      </c>
      <c r="C58" s="353">
        <f t="shared" si="3"/>
        <v>43.82349924649489</v>
      </c>
      <c r="D58" s="128"/>
      <c r="E58" s="128"/>
      <c r="F58" s="128"/>
      <c r="G58" s="128"/>
      <c r="H58" s="128"/>
      <c r="I58" s="128"/>
      <c r="J58" s="128"/>
      <c r="K58" s="128"/>
      <c r="L58" s="128"/>
      <c r="M58" s="128"/>
      <c r="N58" s="128"/>
      <c r="O58" s="128"/>
      <c r="P58" s="226"/>
      <c r="Q58" s="128"/>
      <c r="R58" s="128"/>
      <c r="S58" s="128"/>
      <c r="T58" s="128"/>
      <c r="U58" s="128"/>
      <c r="V58" s="128"/>
      <c r="W58" s="128"/>
      <c r="X58" s="128"/>
      <c r="Y58" s="128"/>
      <c r="Z58" s="128"/>
      <c r="AA58" s="128"/>
    </row>
    <row r="59" spans="1:27" x14ac:dyDescent="0.2">
      <c r="A59" s="128"/>
      <c r="B59" s="207">
        <f t="shared" si="2"/>
        <v>180</v>
      </c>
      <c r="C59" s="353">
        <f t="shared" si="3"/>
        <v>40.656965974059879</v>
      </c>
      <c r="D59" s="128"/>
      <c r="E59" s="128"/>
      <c r="F59" s="128"/>
      <c r="G59" s="128"/>
      <c r="H59" s="128"/>
      <c r="I59" s="128"/>
      <c r="J59" s="128"/>
      <c r="K59" s="128"/>
      <c r="L59" s="128"/>
      <c r="M59" s="128"/>
      <c r="N59" s="128"/>
      <c r="O59" s="128"/>
      <c r="P59" s="226"/>
      <c r="Q59" s="128"/>
      <c r="R59" s="128"/>
      <c r="S59" s="128"/>
      <c r="T59" s="128"/>
      <c r="U59" s="128"/>
      <c r="V59" s="128"/>
      <c r="W59" s="128"/>
      <c r="X59" s="128"/>
      <c r="Y59" s="128"/>
      <c r="Z59" s="128"/>
      <c r="AA59" s="128"/>
    </row>
    <row r="60" spans="1:27" x14ac:dyDescent="0.2">
      <c r="A60" s="128"/>
      <c r="B60" s="207">
        <f t="shared" si="2"/>
        <v>195</v>
      </c>
      <c r="C60" s="353">
        <f t="shared" si="3"/>
        <v>37.719235356315657</v>
      </c>
      <c r="D60" s="128"/>
      <c r="E60" s="128"/>
      <c r="F60" s="128"/>
      <c r="G60" s="128"/>
      <c r="H60" s="128"/>
      <c r="I60" s="128"/>
      <c r="J60" s="128"/>
      <c r="K60" s="128"/>
      <c r="L60" s="128"/>
      <c r="M60" s="128"/>
      <c r="N60" s="128"/>
      <c r="O60" s="128"/>
      <c r="P60" s="226"/>
      <c r="Q60" s="128"/>
      <c r="R60" s="128"/>
      <c r="S60" s="128"/>
      <c r="T60" s="128"/>
      <c r="U60" s="128"/>
      <c r="V60" s="128"/>
      <c r="W60" s="128"/>
      <c r="X60" s="128"/>
      <c r="Y60" s="128"/>
      <c r="Z60" s="128"/>
      <c r="AA60" s="128"/>
    </row>
    <row r="61" spans="1:27" x14ac:dyDescent="0.2">
      <c r="A61" s="128"/>
      <c r="B61" s="207">
        <f t="shared" si="2"/>
        <v>210</v>
      </c>
      <c r="C61" s="353">
        <f t="shared" si="3"/>
        <v>34.993774911115501</v>
      </c>
      <c r="D61" s="128"/>
      <c r="E61" s="128"/>
      <c r="F61" s="128"/>
      <c r="G61" s="128"/>
      <c r="H61" s="128"/>
      <c r="I61" s="128"/>
      <c r="J61" s="128"/>
      <c r="K61" s="128"/>
      <c r="L61" s="128"/>
      <c r="M61" s="128"/>
      <c r="N61" s="128"/>
      <c r="O61" s="128"/>
      <c r="P61" s="226"/>
      <c r="Q61" s="128"/>
      <c r="R61" s="128"/>
      <c r="S61" s="128"/>
      <c r="T61" s="128"/>
      <c r="U61" s="128"/>
      <c r="V61" s="128"/>
      <c r="W61" s="128"/>
      <c r="X61" s="128"/>
      <c r="Y61" s="128"/>
      <c r="Z61" s="128"/>
      <c r="AA61" s="128"/>
    </row>
    <row r="62" spans="1:27" x14ac:dyDescent="0.2">
      <c r="A62" s="128"/>
      <c r="B62" s="207">
        <f t="shared" si="2"/>
        <v>225</v>
      </c>
      <c r="C62" s="353">
        <f t="shared" si="3"/>
        <v>32.465246735834938</v>
      </c>
      <c r="D62" s="128"/>
      <c r="E62" s="128"/>
      <c r="F62" s="128"/>
      <c r="G62" s="128"/>
      <c r="H62" s="128"/>
      <c r="I62" s="128"/>
      <c r="J62" s="128"/>
      <c r="K62" s="128"/>
      <c r="L62" s="128"/>
      <c r="M62" s="128"/>
      <c r="N62" s="128"/>
      <c r="O62" s="128"/>
      <c r="P62" s="226"/>
      <c r="Q62" s="128"/>
      <c r="R62" s="128"/>
      <c r="S62" s="128"/>
      <c r="T62" s="128"/>
      <c r="U62" s="128"/>
      <c r="V62" s="128"/>
      <c r="W62" s="128"/>
      <c r="X62" s="128"/>
      <c r="Y62" s="128"/>
      <c r="Z62" s="128"/>
      <c r="AA62" s="128"/>
    </row>
    <row r="63" spans="1:27" x14ac:dyDescent="0.2">
      <c r="A63" s="128"/>
      <c r="B63" s="207">
        <f t="shared" si="2"/>
        <v>240</v>
      </c>
      <c r="C63" s="353">
        <f t="shared" si="3"/>
        <v>30.119421191220177</v>
      </c>
      <c r="D63" s="128"/>
      <c r="E63" s="128"/>
      <c r="F63" s="128"/>
      <c r="G63" s="128"/>
      <c r="H63" s="128"/>
      <c r="I63" s="128"/>
      <c r="J63" s="128"/>
      <c r="K63" s="128"/>
      <c r="L63" s="128"/>
      <c r="M63" s="128"/>
      <c r="N63" s="128"/>
      <c r="O63" s="128"/>
      <c r="P63" s="226"/>
      <c r="Q63" s="128"/>
      <c r="R63" s="128"/>
      <c r="S63" s="128"/>
      <c r="T63" s="128"/>
      <c r="U63" s="128"/>
      <c r="V63" s="128"/>
      <c r="W63" s="128"/>
      <c r="X63" s="128"/>
      <c r="Y63" s="128"/>
      <c r="Z63" s="128"/>
      <c r="AA63" s="128"/>
    </row>
    <row r="64" spans="1:27" x14ac:dyDescent="0.2">
      <c r="A64" s="128"/>
      <c r="B64" s="207">
        <f t="shared" si="2"/>
        <v>255</v>
      </c>
      <c r="C64" s="353">
        <f t="shared" si="3"/>
        <v>27.943096822140703</v>
      </c>
      <c r="D64" s="128"/>
      <c r="E64" s="128"/>
      <c r="F64" s="128"/>
      <c r="G64" s="128"/>
      <c r="H64" s="128"/>
      <c r="I64" s="128"/>
      <c r="J64" s="128"/>
      <c r="K64" s="128"/>
      <c r="L64" s="128"/>
      <c r="M64" s="128"/>
      <c r="N64" s="128"/>
      <c r="O64" s="128"/>
      <c r="P64" s="226"/>
      <c r="Q64" s="128"/>
      <c r="R64" s="128"/>
      <c r="S64" s="128"/>
      <c r="T64" s="128"/>
      <c r="U64" s="128"/>
      <c r="V64" s="128"/>
      <c r="W64" s="128"/>
      <c r="X64" s="128"/>
      <c r="Y64" s="128"/>
      <c r="Z64" s="128"/>
      <c r="AA64" s="128"/>
    </row>
    <row r="65" spans="1:27" x14ac:dyDescent="0.2">
      <c r="A65" s="128"/>
      <c r="B65" s="207">
        <f t="shared" si="2"/>
        <v>270</v>
      </c>
      <c r="C65" s="353">
        <f t="shared" si="3"/>
        <v>25.924026064589121</v>
      </c>
      <c r="D65" s="128"/>
      <c r="E65" s="128"/>
      <c r="F65" s="128"/>
      <c r="G65" s="128"/>
      <c r="H65" s="128"/>
      <c r="I65" s="128"/>
      <c r="J65" s="128"/>
      <c r="K65" s="128"/>
      <c r="L65" s="128"/>
      <c r="M65" s="128"/>
      <c r="N65" s="128"/>
      <c r="O65" s="128"/>
      <c r="P65" s="226"/>
      <c r="Q65" s="128"/>
      <c r="R65" s="128"/>
      <c r="S65" s="128"/>
      <c r="T65" s="128"/>
      <c r="U65" s="128"/>
      <c r="V65" s="128"/>
      <c r="W65" s="128"/>
      <c r="X65" s="128"/>
      <c r="Y65" s="128"/>
      <c r="Z65" s="128"/>
      <c r="AA65" s="128"/>
    </row>
    <row r="66" spans="1:27" x14ac:dyDescent="0.2">
      <c r="A66" s="128"/>
      <c r="B66" s="207">
        <f t="shared" si="2"/>
        <v>285</v>
      </c>
      <c r="C66" s="353">
        <f t="shared" si="3"/>
        <v>24.050846320834186</v>
      </c>
      <c r="D66" s="128"/>
      <c r="E66" s="128"/>
      <c r="F66" s="128"/>
      <c r="G66" s="128"/>
      <c r="H66" s="128"/>
      <c r="I66" s="128"/>
      <c r="J66" s="128"/>
      <c r="K66" s="128"/>
      <c r="L66" s="128"/>
      <c r="M66" s="128"/>
      <c r="N66" s="128"/>
      <c r="O66" s="128"/>
      <c r="P66" s="226"/>
      <c r="Q66" s="128"/>
      <c r="R66" s="128"/>
      <c r="S66" s="128"/>
      <c r="T66" s="128"/>
      <c r="U66" s="128"/>
      <c r="V66" s="128"/>
      <c r="W66" s="128"/>
      <c r="X66" s="128"/>
      <c r="Y66" s="128"/>
      <c r="Z66" s="128"/>
      <c r="AA66" s="128"/>
    </row>
    <row r="67" spans="1:27" x14ac:dyDescent="0.2">
      <c r="A67" s="128"/>
      <c r="B67" s="207">
        <f t="shared" si="2"/>
        <v>300</v>
      </c>
      <c r="C67" s="353">
        <f t="shared" si="3"/>
        <v>22.313016014842955</v>
      </c>
      <c r="D67" s="128"/>
      <c r="E67" s="128"/>
      <c r="F67" s="128"/>
      <c r="G67" s="128"/>
      <c r="H67" s="128"/>
      <c r="I67" s="128"/>
      <c r="J67" s="128"/>
      <c r="K67" s="128"/>
      <c r="L67" s="128"/>
      <c r="M67" s="128"/>
      <c r="N67" s="128"/>
      <c r="O67" s="128"/>
      <c r="P67" s="226"/>
      <c r="Q67" s="128"/>
      <c r="R67" s="128"/>
      <c r="S67" s="128"/>
      <c r="T67" s="128"/>
      <c r="U67" s="128"/>
      <c r="V67" s="128"/>
      <c r="W67" s="128"/>
      <c r="X67" s="128"/>
      <c r="Y67" s="128"/>
      <c r="Z67" s="128"/>
      <c r="AA67" s="128"/>
    </row>
    <row r="68" spans="1:27" x14ac:dyDescent="0.2">
      <c r="A68" s="128"/>
      <c r="B68" s="128"/>
      <c r="C68" s="128"/>
      <c r="D68" s="128"/>
      <c r="E68" s="128"/>
      <c r="F68" s="128"/>
      <c r="G68" s="128"/>
      <c r="H68" s="128"/>
      <c r="I68" s="128"/>
      <c r="J68" s="128"/>
      <c r="K68" s="128"/>
      <c r="L68" s="128"/>
      <c r="M68" s="128"/>
      <c r="N68" s="128"/>
      <c r="O68" s="128"/>
      <c r="P68" s="226"/>
      <c r="Q68" s="128"/>
      <c r="R68" s="128"/>
      <c r="S68" s="128"/>
      <c r="T68" s="128"/>
      <c r="U68" s="128"/>
      <c r="V68" s="128"/>
      <c r="W68" s="128"/>
      <c r="X68" s="128"/>
      <c r="Y68" s="128"/>
      <c r="Z68" s="128"/>
      <c r="AA68" s="128"/>
    </row>
    <row r="69" spans="1:27" x14ac:dyDescent="0.2">
      <c r="A69" s="128"/>
      <c r="B69" s="128"/>
      <c r="C69" s="128"/>
      <c r="D69" s="128"/>
      <c r="E69" s="128"/>
      <c r="F69" s="128"/>
      <c r="G69" s="128"/>
      <c r="H69" s="128"/>
      <c r="I69" s="128"/>
      <c r="J69" s="128"/>
      <c r="K69" s="128"/>
      <c r="L69" s="128"/>
      <c r="M69" s="128"/>
      <c r="N69" s="128"/>
      <c r="O69" s="128"/>
      <c r="P69" s="226"/>
      <c r="Q69" s="128"/>
      <c r="R69" s="128"/>
      <c r="S69" s="128"/>
      <c r="T69" s="128"/>
      <c r="U69" s="128"/>
      <c r="V69" s="128"/>
      <c r="W69" s="128"/>
      <c r="X69" s="128"/>
      <c r="Y69" s="128"/>
      <c r="Z69" s="128"/>
      <c r="AA69" s="128"/>
    </row>
    <row r="70" spans="1:27" x14ac:dyDescent="0.2">
      <c r="A70" s="128"/>
      <c r="B70" s="128"/>
      <c r="C70" s="128"/>
      <c r="D70" s="128"/>
      <c r="E70" s="128"/>
      <c r="F70" s="128"/>
      <c r="G70" s="128"/>
      <c r="H70" s="128"/>
      <c r="I70" s="128"/>
      <c r="J70" s="128"/>
      <c r="K70" s="128"/>
      <c r="L70" s="128"/>
      <c r="M70" s="128"/>
      <c r="N70" s="128"/>
      <c r="O70" s="128"/>
      <c r="P70" s="226"/>
      <c r="Q70" s="128"/>
      <c r="R70" s="128"/>
      <c r="S70" s="128"/>
      <c r="T70" s="128"/>
      <c r="U70" s="128"/>
      <c r="V70" s="128"/>
      <c r="W70" s="128"/>
      <c r="X70" s="128"/>
      <c r="Y70" s="128"/>
      <c r="Z70" s="128"/>
      <c r="AA70" s="128"/>
    </row>
    <row r="71" spans="1:27" x14ac:dyDescent="0.2">
      <c r="A71" s="128"/>
      <c r="B71" s="128"/>
      <c r="C71" s="128"/>
      <c r="D71" s="128"/>
      <c r="E71" s="128"/>
      <c r="F71" s="128"/>
      <c r="G71" s="128"/>
      <c r="H71" s="128"/>
      <c r="I71" s="128"/>
      <c r="J71" s="128"/>
      <c r="K71" s="128"/>
      <c r="L71" s="128"/>
      <c r="M71" s="128"/>
      <c r="N71" s="128"/>
      <c r="O71" s="128"/>
      <c r="P71" s="226"/>
      <c r="Q71" s="128"/>
      <c r="R71" s="128"/>
      <c r="S71" s="128"/>
      <c r="T71" s="128"/>
      <c r="U71" s="128"/>
      <c r="V71" s="128"/>
      <c r="W71" s="128"/>
      <c r="X71" s="128"/>
      <c r="Y71" s="128"/>
      <c r="Z71" s="128"/>
      <c r="AA71" s="128"/>
    </row>
    <row r="72" spans="1:27" x14ac:dyDescent="0.2">
      <c r="A72" s="128"/>
      <c r="B72" s="128"/>
      <c r="C72" s="128"/>
      <c r="D72" s="128"/>
      <c r="E72" s="128"/>
      <c r="F72" s="128"/>
      <c r="G72" s="128"/>
      <c r="H72" s="128"/>
      <c r="I72" s="128"/>
      <c r="J72" s="128"/>
      <c r="K72" s="128"/>
      <c r="L72" s="128"/>
      <c r="M72" s="128"/>
      <c r="N72" s="128"/>
      <c r="O72" s="128"/>
      <c r="P72" s="226"/>
      <c r="Q72" s="128"/>
      <c r="R72" s="128"/>
      <c r="S72" s="128"/>
      <c r="T72" s="128"/>
      <c r="U72" s="128"/>
      <c r="V72" s="128"/>
      <c r="W72" s="128"/>
      <c r="X72" s="128"/>
      <c r="Y72" s="128"/>
      <c r="Z72" s="128"/>
      <c r="AA72" s="128"/>
    </row>
    <row r="73" spans="1:27" x14ac:dyDescent="0.2">
      <c r="A73" s="128"/>
      <c r="B73" s="128"/>
      <c r="C73" s="128"/>
      <c r="D73" s="128"/>
      <c r="E73" s="128"/>
      <c r="F73" s="128"/>
      <c r="G73" s="128"/>
      <c r="H73" s="128"/>
      <c r="I73" s="128"/>
      <c r="J73" s="128"/>
      <c r="K73" s="128"/>
      <c r="L73" s="128"/>
      <c r="M73" s="128"/>
      <c r="N73" s="128"/>
      <c r="O73" s="128"/>
      <c r="P73" s="226"/>
      <c r="Q73" s="128"/>
      <c r="R73" s="128"/>
      <c r="S73" s="128"/>
      <c r="T73" s="128"/>
      <c r="U73" s="128"/>
      <c r="V73" s="128"/>
      <c r="W73" s="128"/>
      <c r="X73" s="128"/>
      <c r="Y73" s="128"/>
      <c r="Z73" s="128"/>
      <c r="AA73" s="128"/>
    </row>
    <row r="74" spans="1:27" x14ac:dyDescent="0.2">
      <c r="A74" s="128"/>
      <c r="B74" s="128"/>
      <c r="C74" s="128"/>
      <c r="D74" s="128"/>
      <c r="E74" s="128"/>
      <c r="F74" s="128"/>
      <c r="G74" s="128"/>
      <c r="H74" s="128"/>
      <c r="I74" s="128"/>
      <c r="J74" s="128"/>
      <c r="K74" s="128"/>
      <c r="L74" s="128"/>
      <c r="M74" s="128"/>
      <c r="N74" s="128"/>
      <c r="O74" s="128"/>
      <c r="P74" s="226"/>
      <c r="Q74" s="128"/>
      <c r="R74" s="128"/>
      <c r="S74" s="128"/>
      <c r="T74" s="128"/>
      <c r="U74" s="128"/>
      <c r="V74" s="128"/>
      <c r="W74" s="128"/>
      <c r="X74" s="128"/>
      <c r="Y74" s="128"/>
      <c r="Z74" s="128"/>
      <c r="AA74" s="128"/>
    </row>
    <row r="75" spans="1:27" x14ac:dyDescent="0.2">
      <c r="A75" s="128"/>
      <c r="B75" s="128"/>
      <c r="C75" s="128"/>
      <c r="D75" s="128"/>
      <c r="E75" s="128"/>
      <c r="F75" s="128"/>
      <c r="G75" s="128"/>
      <c r="H75" s="128"/>
      <c r="I75" s="128"/>
      <c r="J75" s="128"/>
      <c r="K75" s="128"/>
      <c r="L75" s="128"/>
      <c r="M75" s="128"/>
      <c r="N75" s="128"/>
      <c r="O75" s="128"/>
      <c r="P75" s="226"/>
      <c r="Q75" s="128"/>
      <c r="R75" s="128"/>
      <c r="S75" s="128"/>
      <c r="T75" s="128"/>
      <c r="U75" s="128"/>
      <c r="V75" s="128"/>
      <c r="W75" s="128"/>
      <c r="X75" s="128"/>
      <c r="Y75" s="128"/>
      <c r="Z75" s="128"/>
      <c r="AA75" s="128"/>
    </row>
    <row r="76" spans="1:27" x14ac:dyDescent="0.2">
      <c r="A76" s="128"/>
      <c r="B76" s="128"/>
      <c r="C76" s="128"/>
      <c r="D76" s="128"/>
      <c r="E76" s="128"/>
      <c r="F76" s="128"/>
      <c r="G76" s="128"/>
      <c r="H76" s="128"/>
      <c r="I76" s="128"/>
      <c r="J76" s="128"/>
      <c r="K76" s="128"/>
      <c r="L76" s="128"/>
      <c r="M76" s="128"/>
      <c r="N76" s="128"/>
      <c r="O76" s="128"/>
      <c r="P76" s="226"/>
      <c r="Q76" s="128"/>
      <c r="R76" s="128"/>
      <c r="S76" s="128"/>
      <c r="T76" s="128"/>
      <c r="U76" s="128"/>
      <c r="V76" s="128"/>
      <c r="W76" s="128"/>
      <c r="X76" s="128"/>
      <c r="Y76" s="128"/>
      <c r="Z76" s="128"/>
      <c r="AA76" s="128"/>
    </row>
    <row r="77" spans="1:27" x14ac:dyDescent="0.2">
      <c r="A77" s="128"/>
      <c r="B77" s="128"/>
      <c r="C77" s="128"/>
      <c r="D77" s="128"/>
      <c r="E77" s="128"/>
      <c r="F77" s="128"/>
      <c r="G77" s="128"/>
      <c r="H77" s="128"/>
      <c r="I77" s="128"/>
      <c r="J77" s="128"/>
      <c r="K77" s="128"/>
      <c r="L77" s="128"/>
      <c r="M77" s="128"/>
      <c r="N77" s="128"/>
      <c r="O77" s="128"/>
      <c r="P77" s="226"/>
      <c r="Q77" s="128"/>
      <c r="R77" s="128"/>
      <c r="S77" s="128"/>
      <c r="T77" s="128"/>
      <c r="U77" s="128"/>
      <c r="V77" s="128"/>
      <c r="W77" s="128"/>
      <c r="X77" s="128"/>
      <c r="Y77" s="128"/>
      <c r="Z77" s="128"/>
      <c r="AA77" s="128"/>
    </row>
    <row r="78" spans="1:27" x14ac:dyDescent="0.2">
      <c r="A78" s="128"/>
      <c r="B78" s="128"/>
      <c r="C78" s="128"/>
      <c r="D78" s="128"/>
      <c r="E78" s="128"/>
      <c r="F78" s="128"/>
      <c r="G78" s="128"/>
      <c r="H78" s="128"/>
      <c r="I78" s="128"/>
      <c r="J78" s="128"/>
      <c r="K78" s="128"/>
      <c r="L78" s="128"/>
      <c r="M78" s="128"/>
      <c r="N78" s="128"/>
      <c r="O78" s="128"/>
      <c r="P78" s="226"/>
      <c r="Q78" s="128"/>
      <c r="R78" s="128"/>
      <c r="S78" s="128"/>
      <c r="T78" s="128"/>
      <c r="U78" s="128"/>
      <c r="V78" s="128"/>
      <c r="W78" s="128"/>
      <c r="X78" s="128"/>
      <c r="Y78" s="128"/>
      <c r="Z78" s="128"/>
      <c r="AA78" s="128"/>
    </row>
    <row r="79" spans="1:27" x14ac:dyDescent="0.2">
      <c r="O79" s="128"/>
      <c r="P79" s="226"/>
    </row>
    <row r="80" spans="1:27" x14ac:dyDescent="0.2">
      <c r="O80" s="128"/>
      <c r="P80" s="226"/>
    </row>
    <row r="81" spans="15:16" x14ac:dyDescent="0.2">
      <c r="O81" s="128"/>
      <c r="P81" s="226"/>
    </row>
    <row r="82" spans="15:16" x14ac:dyDescent="0.2">
      <c r="O82" s="128"/>
      <c r="P82" s="226"/>
    </row>
    <row r="83" spans="15:16" x14ac:dyDescent="0.2">
      <c r="O83" s="128"/>
      <c r="P83" s="226"/>
    </row>
    <row r="84" spans="15:16" x14ac:dyDescent="0.2">
      <c r="O84" s="128"/>
      <c r="P84" s="226"/>
    </row>
    <row r="85" spans="15:16" x14ac:dyDescent="0.2">
      <c r="O85" s="128"/>
      <c r="P85" s="226"/>
    </row>
    <row r="86" spans="15:16" x14ac:dyDescent="0.2">
      <c r="O86" s="128"/>
      <c r="P86" s="226"/>
    </row>
    <row r="87" spans="15:16" x14ac:dyDescent="0.2">
      <c r="O87" s="128"/>
      <c r="P87" s="226"/>
    </row>
    <row r="88" spans="15:16" x14ac:dyDescent="0.2">
      <c r="O88" s="128"/>
      <c r="P88" s="226"/>
    </row>
    <row r="89" spans="15:16" x14ac:dyDescent="0.2">
      <c r="O89" s="128"/>
      <c r="P89" s="226"/>
    </row>
    <row r="90" spans="15:16" x14ac:dyDescent="0.2">
      <c r="O90" s="128"/>
      <c r="P90" s="226"/>
    </row>
    <row r="91" spans="15:16" x14ac:dyDescent="0.2">
      <c r="O91" s="128"/>
      <c r="P91" s="226"/>
    </row>
    <row r="92" spans="15:16" x14ac:dyDescent="0.2">
      <c r="O92" s="128"/>
      <c r="P92" s="226"/>
    </row>
    <row r="93" spans="15:16" x14ac:dyDescent="0.2">
      <c r="O93" s="128"/>
      <c r="P93" s="226"/>
    </row>
    <row r="94" spans="15:16" x14ac:dyDescent="0.2">
      <c r="O94" s="128"/>
      <c r="P94" s="226"/>
    </row>
    <row r="95" spans="15:16" x14ac:dyDescent="0.2">
      <c r="O95" s="128"/>
      <c r="P95" s="226"/>
    </row>
    <row r="96" spans="15:16" x14ac:dyDescent="0.2">
      <c r="O96" s="128"/>
      <c r="P96" s="226"/>
    </row>
    <row r="97" spans="15:16" x14ac:dyDescent="0.2">
      <c r="O97" s="128"/>
      <c r="P97" s="226"/>
    </row>
    <row r="98" spans="15:16" x14ac:dyDescent="0.2">
      <c r="O98" s="128"/>
      <c r="P98" s="226"/>
    </row>
    <row r="99" spans="15:16" x14ac:dyDescent="0.2">
      <c r="O99" s="128"/>
      <c r="P99" s="226"/>
    </row>
    <row r="100" spans="15:16" x14ac:dyDescent="0.2">
      <c r="O100" s="128"/>
      <c r="P100" s="226"/>
    </row>
    <row r="101" spans="15:16" x14ac:dyDescent="0.2">
      <c r="O101" s="128"/>
      <c r="P101" s="226"/>
    </row>
    <row r="102" spans="15:16" x14ac:dyDescent="0.2">
      <c r="O102" s="128"/>
      <c r="P102" s="226"/>
    </row>
    <row r="103" spans="15:16" x14ac:dyDescent="0.2">
      <c r="O103" s="128"/>
      <c r="P103" s="226"/>
    </row>
    <row r="104" spans="15:16" x14ac:dyDescent="0.2">
      <c r="O104" s="128"/>
      <c r="P104" s="226"/>
    </row>
    <row r="105" spans="15:16" x14ac:dyDescent="0.2">
      <c r="O105" s="128"/>
      <c r="P105" s="226"/>
    </row>
    <row r="106" spans="15:16" x14ac:dyDescent="0.2">
      <c r="O106" s="128"/>
      <c r="P106" s="226"/>
    </row>
    <row r="107" spans="15:16" x14ac:dyDescent="0.2">
      <c r="O107" s="128"/>
    </row>
    <row r="108" spans="15:16" x14ac:dyDescent="0.2">
      <c r="O108" s="128"/>
    </row>
    <row r="109" spans="15:16" x14ac:dyDescent="0.2">
      <c r="O109" s="128"/>
    </row>
    <row r="110" spans="15:16" x14ac:dyDescent="0.2">
      <c r="O110" s="128"/>
    </row>
    <row r="111" spans="15:16" x14ac:dyDescent="0.2">
      <c r="O111" s="128"/>
    </row>
    <row r="112" spans="15:16" x14ac:dyDescent="0.2">
      <c r="O112" s="128"/>
    </row>
    <row r="113" spans="15:15" x14ac:dyDescent="0.2">
      <c r="O113" s="128"/>
    </row>
    <row r="114" spans="15:15" x14ac:dyDescent="0.2">
      <c r="O114" s="128"/>
    </row>
    <row r="115" spans="15:15" x14ac:dyDescent="0.2">
      <c r="O115" s="128"/>
    </row>
    <row r="116" spans="15:15" x14ac:dyDescent="0.2">
      <c r="O116" s="128"/>
    </row>
    <row r="117" spans="15:15" x14ac:dyDescent="0.2">
      <c r="O117" s="128"/>
    </row>
    <row r="118" spans="15:15" x14ac:dyDescent="0.2">
      <c r="O118" s="128"/>
    </row>
    <row r="119" spans="15:15" x14ac:dyDescent="0.2">
      <c r="O119" s="128"/>
    </row>
    <row r="120" spans="15:15" x14ac:dyDescent="0.2">
      <c r="O120" s="128"/>
    </row>
    <row r="121" spans="15:15" x14ac:dyDescent="0.2">
      <c r="O121" s="128"/>
    </row>
    <row r="122" spans="15:15" x14ac:dyDescent="0.2">
      <c r="O122" s="128"/>
    </row>
    <row r="123" spans="15:15" x14ac:dyDescent="0.2">
      <c r="O123" s="128"/>
    </row>
    <row r="124" spans="15:15" x14ac:dyDescent="0.2">
      <c r="O124" s="128"/>
    </row>
    <row r="125" spans="15:15" x14ac:dyDescent="0.2">
      <c r="O125" s="128"/>
    </row>
    <row r="126" spans="15:15" x14ac:dyDescent="0.2">
      <c r="O126" s="128"/>
    </row>
    <row r="127" spans="15:15" x14ac:dyDescent="0.2">
      <c r="O127" s="128"/>
    </row>
  </sheetData>
  <sheetProtection password="CF27" sheet="1" objects="1" scenarios="1"/>
  <mergeCells count="7">
    <mergeCell ref="F45:K45"/>
    <mergeCell ref="F44:M44"/>
    <mergeCell ref="E31:E37"/>
    <mergeCell ref="J35:J40"/>
    <mergeCell ref="A11:B16"/>
    <mergeCell ref="F31:F37"/>
    <mergeCell ref="B45:C4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workbookViewId="0">
      <selection activeCell="R11" sqref="R11"/>
    </sheetView>
  </sheetViews>
  <sheetFormatPr defaultRowHeight="12.75" x14ac:dyDescent="0.2"/>
  <sheetData/>
  <sheetProtection password="CF27"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54"/>
  <sheetViews>
    <sheetView topLeftCell="A4" zoomScale="85" zoomScaleNormal="85" workbookViewId="0">
      <selection activeCell="L47" sqref="L47"/>
    </sheetView>
  </sheetViews>
  <sheetFormatPr defaultRowHeight="12.75" x14ac:dyDescent="0.2"/>
  <sheetData>
    <row r="1" spans="1:2" x14ac:dyDescent="0.2">
      <c r="A1" s="290"/>
      <c r="B1" t="s">
        <v>345</v>
      </c>
    </row>
    <row r="23" spans="2:18" ht="12.75" customHeight="1" x14ac:dyDescent="0.2">
      <c r="K23" s="430" t="s">
        <v>346</v>
      </c>
      <c r="L23" s="430"/>
      <c r="M23" s="430"/>
      <c r="N23" s="430"/>
      <c r="O23" s="430"/>
      <c r="P23" s="430"/>
      <c r="Q23" s="430"/>
      <c r="R23" s="430"/>
    </row>
    <row r="24" spans="2:18" x14ac:dyDescent="0.2">
      <c r="K24" s="430"/>
      <c r="L24" s="430"/>
      <c r="M24" s="430"/>
      <c r="N24" s="430"/>
      <c r="O24" s="430"/>
      <c r="P24" s="430"/>
      <c r="Q24" s="430"/>
      <c r="R24" s="430"/>
    </row>
    <row r="25" spans="2:18" x14ac:dyDescent="0.2">
      <c r="K25" s="430"/>
      <c r="L25" s="430"/>
      <c r="M25" s="430"/>
      <c r="N25" s="430"/>
      <c r="O25" s="430"/>
      <c r="P25" s="430"/>
      <c r="Q25" s="430"/>
      <c r="R25" s="430"/>
    </row>
    <row r="26" spans="2:18" x14ac:dyDescent="0.2">
      <c r="K26" s="430"/>
      <c r="L26" s="430"/>
      <c r="M26" s="430"/>
      <c r="N26" s="430"/>
      <c r="O26" s="430"/>
      <c r="P26" s="430"/>
      <c r="Q26" s="430"/>
      <c r="R26" s="430"/>
    </row>
    <row r="27" spans="2:18" x14ac:dyDescent="0.2">
      <c r="K27" s="430"/>
      <c r="L27" s="430"/>
      <c r="M27" s="430"/>
      <c r="N27" s="430"/>
      <c r="O27" s="430"/>
      <c r="P27" s="430"/>
      <c r="Q27" s="430"/>
      <c r="R27" s="430"/>
    </row>
    <row r="28" spans="2:18" x14ac:dyDescent="0.2">
      <c r="K28" s="430"/>
      <c r="L28" s="430"/>
      <c r="M28" s="430"/>
      <c r="N28" s="430"/>
      <c r="O28" s="430"/>
      <c r="P28" s="430"/>
      <c r="Q28" s="430"/>
      <c r="R28" s="430"/>
    </row>
    <row r="29" spans="2:18" ht="38.25" x14ac:dyDescent="0.2">
      <c r="B29" s="359"/>
      <c r="C29" s="360" t="s">
        <v>343</v>
      </c>
      <c r="D29" s="360" t="s">
        <v>344</v>
      </c>
      <c r="K29" s="430"/>
      <c r="L29" s="430"/>
      <c r="M29" s="430"/>
      <c r="N29" s="430"/>
      <c r="O29" s="430"/>
      <c r="P29" s="430"/>
      <c r="Q29" s="430"/>
      <c r="R29" s="430"/>
    </row>
    <row r="30" spans="2:18" x14ac:dyDescent="0.2">
      <c r="B30" s="359">
        <v>40544</v>
      </c>
      <c r="C30" s="290"/>
      <c r="D30" s="290"/>
    </row>
    <row r="31" spans="2:18" x14ac:dyDescent="0.2">
      <c r="B31" s="359">
        <v>40558</v>
      </c>
      <c r="C31">
        <f>IF('Current version'!V5="","NA",'Current version'!V5/'Current version'!V4)-1</f>
        <v>0.28885402805548943</v>
      </c>
      <c r="D31" s="290">
        <f>('Current version'!AL5/'Current version'!AL4)-1</f>
        <v>0</v>
      </c>
    </row>
    <row r="32" spans="2:18" x14ac:dyDescent="0.2">
      <c r="B32" s="359">
        <v>40575</v>
      </c>
      <c r="C32">
        <f>IF('Current version'!V6="","NA",'Current version'!V6/'Current version'!V5)-1</f>
        <v>0.19143255206187737</v>
      </c>
      <c r="D32" s="290">
        <f>('Current version'!AL6/'Current version'!AL5)-1</f>
        <v>0.25</v>
      </c>
    </row>
    <row r="33" spans="2:4" x14ac:dyDescent="0.2">
      <c r="B33" s="359">
        <v>40589</v>
      </c>
      <c r="C33">
        <f>IF('Current version'!V7="","NA",'Current version'!V7/'Current version'!V6)-1</f>
        <v>0.60615479855773335</v>
      </c>
      <c r="D33" s="290">
        <f>('Current version'!AL7/'Current version'!AL6)-1</f>
        <v>0.19999999999999996</v>
      </c>
    </row>
    <row r="34" spans="2:4" x14ac:dyDescent="0.2">
      <c r="B34" s="359">
        <v>40603</v>
      </c>
      <c r="C34">
        <f>IF('Current version'!V8="","NA",'Current version'!V8/'Current version'!V7)-1</f>
        <v>0.58073012283671166</v>
      </c>
      <c r="D34" s="290">
        <f>('Current version'!AL8/'Current version'!AL7)-1</f>
        <v>0.33333333333333326</v>
      </c>
    </row>
    <row r="35" spans="2:4" x14ac:dyDescent="0.2">
      <c r="B35" s="359">
        <v>40617</v>
      </c>
      <c r="C35">
        <f>IF('Current version'!V9="","NA",'Current version'!V9/'Current version'!V8)-1</f>
        <v>0.55478822760459146</v>
      </c>
      <c r="D35" s="290">
        <f>('Current version'!AL9/'Current version'!AL8)-1</f>
        <v>0.25</v>
      </c>
    </row>
    <row r="36" spans="2:4" x14ac:dyDescent="0.2">
      <c r="B36" s="359">
        <v>40634</v>
      </c>
      <c r="C36">
        <f>IF('Current version'!V10="","NA",'Current version'!V10/'Current version'!V9)-1</f>
        <v>-0.9180103998482545</v>
      </c>
      <c r="D36" s="290">
        <f>('Current version'!AL10/'Current version'!AL9)-1</f>
        <v>-0.75</v>
      </c>
    </row>
    <row r="37" spans="2:4" x14ac:dyDescent="0.2">
      <c r="B37" s="359">
        <v>40648</v>
      </c>
      <c r="C37">
        <f>IF('Current version'!V11="","NA",'Current version'!V11/'Current version'!V10)-1</f>
        <v>0.66459542105216429</v>
      </c>
      <c r="D37" s="290">
        <f>('Current version'!AL11/'Current version'!AL10)-1</f>
        <v>0</v>
      </c>
    </row>
    <row r="38" spans="2:4" x14ac:dyDescent="0.2">
      <c r="B38" s="359">
        <v>40664</v>
      </c>
      <c r="C38">
        <f>IF('Current version'!V12="","NA",'Current version'!V12/'Current version'!V11)-1</f>
        <v>0.47021607982910485</v>
      </c>
      <c r="D38" s="290">
        <f>('Current version'!AL12/'Current version'!AL11)-1</f>
        <v>0.39999999999999991</v>
      </c>
    </row>
    <row r="39" spans="2:4" x14ac:dyDescent="0.2">
      <c r="B39" s="359">
        <v>40678</v>
      </c>
      <c r="C39">
        <f>IF('Current version'!V13="","NA",'Current version'!V13/'Current version'!V12)-1</f>
        <v>0.58661069607953387</v>
      </c>
      <c r="D39" s="290">
        <f>('Current version'!AL13/'Current version'!AL12)-1</f>
        <v>0.4285714285714286</v>
      </c>
    </row>
    <row r="40" spans="2:4" x14ac:dyDescent="0.2">
      <c r="B40" s="359">
        <v>40695</v>
      </c>
      <c r="C40">
        <f>IF('Current version'!V14="","NA",'Current version'!V14/'Current version'!V13)-1</f>
        <v>0.57185393634083348</v>
      </c>
      <c r="D40" s="290">
        <f>('Current version'!AL14/'Current version'!AL13)-1</f>
        <v>0.39999999999999991</v>
      </c>
    </row>
    <row r="41" spans="2:4" x14ac:dyDescent="0.2">
      <c r="B41" s="359">
        <v>40709</v>
      </c>
      <c r="C41">
        <f>IF('Current version'!V15="","NA",'Current version'!V15/'Current version'!V14)-1</f>
        <v>0.60997142262625714</v>
      </c>
      <c r="D41" s="290">
        <f>('Current version'!AL15/'Current version'!AL14)-1</f>
        <v>0.28571428571428581</v>
      </c>
    </row>
    <row r="42" spans="2:4" x14ac:dyDescent="0.2">
      <c r="B42" s="359">
        <v>40725</v>
      </c>
      <c r="C42">
        <f>IF('Current version'!V16="","NA",'Current version'!V16/'Current version'!V15)-1</f>
        <v>0.48612370319682108</v>
      </c>
      <c r="D42" s="290">
        <f>('Current version'!AL16/'Current version'!AL15)-1</f>
        <v>0.16666666666666674</v>
      </c>
    </row>
    <row r="43" spans="2:4" x14ac:dyDescent="0.2">
      <c r="B43" s="359">
        <v>40739</v>
      </c>
      <c r="C43">
        <f>IF('Current version'!V17="","NA",'Current version'!V17/'Current version'!V16)-1</f>
        <v>-0.31385927317289031</v>
      </c>
      <c r="D43" s="290">
        <f>('Current version'!AL17/'Current version'!AL16)-1</f>
        <v>4.7619047619047672E-2</v>
      </c>
    </row>
    <row r="44" spans="2:4" x14ac:dyDescent="0.2">
      <c r="B44" s="359">
        <v>40756</v>
      </c>
      <c r="C44">
        <f>IF('Current version'!V18="","NA",'Current version'!V18/'Current version'!V17)-1</f>
        <v>0.36659448484618773</v>
      </c>
      <c r="D44" s="290">
        <f>('Current version'!AL18/'Current version'!AL17)-1</f>
        <v>-9.0909090909090939E-2</v>
      </c>
    </row>
    <row r="45" spans="2:4" x14ac:dyDescent="0.2">
      <c r="B45" s="359">
        <v>40770</v>
      </c>
      <c r="C45">
        <f>IF('Current version'!V19="","NA",'Current version'!V19/'Current version'!V18)-1</f>
        <v>0.37457811705393795</v>
      </c>
      <c r="D45" s="290">
        <f>('Current version'!AL19/'Current version'!AL18)-1</f>
        <v>-0.15000000000000002</v>
      </c>
    </row>
    <row r="46" spans="2:4" x14ac:dyDescent="0.2">
      <c r="B46" s="359">
        <v>40787</v>
      </c>
      <c r="C46">
        <f>IF('Current version'!V20="","NA",'Current version'!V20/'Current version'!V19)-1</f>
        <v>-0.86078873719745963</v>
      </c>
      <c r="D46" s="290">
        <f>('Current version'!AL20/'Current version'!AL19)-1</f>
        <v>-0.17647058823529416</v>
      </c>
    </row>
    <row r="47" spans="2:4" x14ac:dyDescent="0.2">
      <c r="B47" s="359">
        <v>40801</v>
      </c>
      <c r="C47">
        <f>IF('Current version'!V21="","NA",'Current version'!V21/'Current version'!V20)-1</f>
        <v>1.7070427303214659</v>
      </c>
      <c r="D47" s="290">
        <f>('Current version'!AL21/'Current version'!AL20)-1</f>
        <v>-0.1428571428571429</v>
      </c>
    </row>
    <row r="48" spans="2:4" x14ac:dyDescent="0.2">
      <c r="B48" s="359">
        <v>40817</v>
      </c>
      <c r="C48">
        <f>IF('Current version'!V22="","NA",'Current version'!V22/'Current version'!V21)-1</f>
        <v>0.75335911418603407</v>
      </c>
      <c r="D48" s="290">
        <f>('Current version'!AL22/'Current version'!AL21)-1</f>
        <v>-0.16666666666666663</v>
      </c>
    </row>
    <row r="49" spans="2:4" x14ac:dyDescent="0.2">
      <c r="B49" s="359">
        <v>40831</v>
      </c>
      <c r="C49">
        <f>IF('Current version'!V23="","NA",'Current version'!V23/'Current version'!V22)-1</f>
        <v>0.41500333399674871</v>
      </c>
      <c r="D49" s="290">
        <f>('Current version'!AL23/'Current version'!AL22)-1</f>
        <v>-9.9999999999999978E-2</v>
      </c>
    </row>
    <row r="50" spans="2:4" x14ac:dyDescent="0.2">
      <c r="B50" s="359">
        <v>40848</v>
      </c>
      <c r="C50">
        <f>IF('Current version'!V24="","NA",'Current version'!V24/'Current version'!V23)-1</f>
        <v>0.30195095008958006</v>
      </c>
      <c r="D50" s="290">
        <f>('Current version'!AL24/'Current version'!AL23)-1</f>
        <v>-0.11111111111111116</v>
      </c>
    </row>
    <row r="51" spans="2:4" x14ac:dyDescent="0.2">
      <c r="B51" s="359">
        <v>40862</v>
      </c>
      <c r="C51">
        <f>IF('Current version'!V25="","NA",'Current version'!V25/'Current version'!V24)-1</f>
        <v>0.22517477375626149</v>
      </c>
      <c r="D51" s="290">
        <f>('Current version'!AL25/'Current version'!AL24)-1</f>
        <v>-0.125</v>
      </c>
    </row>
    <row r="52" spans="2:4" x14ac:dyDescent="0.2">
      <c r="B52" s="359">
        <v>40878</v>
      </c>
      <c r="C52">
        <f>IF('Current version'!V26="","NA",'Current version'!V26/'Current version'!V25)-1</f>
        <v>-0.89605236589935922</v>
      </c>
      <c r="D52" s="290">
        <f>('Current version'!AL26/'Current version'!AL25)-1</f>
        <v>0.14285714285714279</v>
      </c>
    </row>
    <row r="53" spans="2:4" x14ac:dyDescent="0.2">
      <c r="B53" s="359">
        <v>40892</v>
      </c>
      <c r="C53">
        <f>IF('Current version'!V27="","NA",'Current version'!V27/'Current version'!V26)-1</f>
        <v>0.27937492632822614</v>
      </c>
      <c r="D53" s="290">
        <f>('Current version'!AL27/'Current version'!AL26)-1</f>
        <v>0</v>
      </c>
    </row>
    <row r="54" spans="2:4" x14ac:dyDescent="0.2">
      <c r="B54" s="359">
        <v>40908</v>
      </c>
      <c r="C54">
        <f>IF('Current version'!V28="","NA",'Current version'!V28/'Current version'!V27)-1</f>
        <v>-0.14557934267495154</v>
      </c>
      <c r="D54" s="290">
        <f>('Current version'!AL28/'Current version'!AL27)-1</f>
        <v>0</v>
      </c>
    </row>
  </sheetData>
  <sheetProtection password="CF27" sheet="1" objects="1" scenarios="1"/>
  <mergeCells count="1">
    <mergeCell ref="K23:R2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EE154"/>
  <sheetViews>
    <sheetView topLeftCell="A23" zoomScale="90" zoomScaleNormal="90" workbookViewId="0">
      <selection activeCell="B21" sqref="B21:S23"/>
    </sheetView>
  </sheetViews>
  <sheetFormatPr defaultRowHeight="12.75" x14ac:dyDescent="0.2"/>
  <cols>
    <col min="1" max="1" width="5.7109375" customWidth="1"/>
    <col min="2" max="2" width="7.7109375" customWidth="1"/>
    <col min="3" max="4" width="5.5703125" customWidth="1"/>
    <col min="5" max="6" width="4.5703125" customWidth="1"/>
    <col min="7" max="7" width="5.42578125" customWidth="1"/>
    <col min="8" max="8" width="4.5703125" customWidth="1"/>
    <col min="9" max="10" width="5.5703125" customWidth="1"/>
    <col min="11" max="19" width="4.5703125" customWidth="1"/>
    <col min="20" max="20" width="12.5703125" customWidth="1"/>
    <col min="21" max="21" width="7.7109375" customWidth="1"/>
    <col min="22" max="22" width="8.5703125" customWidth="1"/>
    <col min="23" max="23" width="8.5703125" style="395" customWidth="1"/>
    <col min="24" max="24" width="8.5703125" customWidth="1"/>
    <col min="25" max="25" width="8.7109375" customWidth="1"/>
    <col min="26" max="26" width="12.5703125" customWidth="1"/>
    <col min="27" max="31" width="12.7109375" customWidth="1"/>
    <col min="32" max="33" width="10.5703125" customWidth="1"/>
    <col min="35" max="35" width="10.7109375" customWidth="1"/>
    <col min="37" max="37" width="8.5703125" customWidth="1"/>
    <col min="38" max="38" width="10.7109375" customWidth="1"/>
    <col min="40" max="40" width="10.7109375" customWidth="1"/>
    <col min="43" max="43" width="10.7109375" customWidth="1"/>
    <col min="44" max="44" width="8.7109375" style="258" customWidth="1"/>
    <col min="45" max="52" width="10.7109375" style="258" customWidth="1"/>
    <col min="53" max="53" width="11.7109375" style="258" customWidth="1"/>
    <col min="54" max="58" width="10.7109375" style="258" customWidth="1"/>
    <col min="59" max="69" width="10.7109375" customWidth="1"/>
    <col min="70" max="70" width="10.5703125" customWidth="1"/>
    <col min="71" max="71" width="9.7109375" customWidth="1"/>
    <col min="74" max="74" width="15" customWidth="1"/>
    <col min="75" max="75" width="11.5703125" bestFit="1" customWidth="1"/>
    <col min="76" max="77" width="10.7109375" customWidth="1"/>
    <col min="78" max="84" width="12.7109375" customWidth="1"/>
    <col min="85" max="85" width="15" customWidth="1"/>
    <col min="86" max="86" width="11.42578125" customWidth="1"/>
    <col min="87" max="87" width="9.7109375" customWidth="1"/>
    <col min="88" max="89" width="12.7109375" style="18" customWidth="1"/>
    <col min="90" max="90" width="15" customWidth="1"/>
    <col min="91" max="91" width="11.7109375" customWidth="1"/>
    <col min="92" max="94" width="10.7109375" customWidth="1"/>
    <col min="95" max="96" width="9.7109375" customWidth="1"/>
    <col min="97" max="97" width="10.7109375" customWidth="1"/>
    <col min="98" max="99" width="9.7109375" customWidth="1"/>
    <col min="100" max="100" width="10.7109375" customWidth="1"/>
    <col min="101" max="103" width="9.7109375" customWidth="1"/>
    <col min="104" max="104" width="12.7109375" customWidth="1"/>
    <col min="105" max="106" width="9.7109375" customWidth="1"/>
    <col min="107" max="109" width="10.7109375" customWidth="1"/>
  </cols>
  <sheetData>
    <row r="1" spans="1:135" x14ac:dyDescent="0.2">
      <c r="A1" s="419"/>
      <c r="B1" s="419"/>
      <c r="C1" s="420" t="s">
        <v>155</v>
      </c>
      <c r="D1" s="420"/>
      <c r="E1" s="420"/>
      <c r="F1" s="420"/>
      <c r="G1" s="420"/>
      <c r="H1" s="420"/>
      <c r="I1" s="420"/>
      <c r="J1" s="420"/>
      <c r="K1" s="420"/>
      <c r="L1" s="420"/>
      <c r="M1" s="420"/>
      <c r="N1" s="420"/>
      <c r="O1" s="420"/>
      <c r="P1" s="420"/>
      <c r="Q1" s="420"/>
      <c r="R1" s="420"/>
      <c r="S1" s="420"/>
      <c r="T1" t="s">
        <v>350</v>
      </c>
      <c r="X1" s="421" t="s">
        <v>302</v>
      </c>
      <c r="Y1" s="421"/>
      <c r="Z1" s="421"/>
      <c r="AA1" s="421"/>
      <c r="AB1" s="421"/>
      <c r="AJ1" s="413" t="s">
        <v>108</v>
      </c>
      <c r="AK1" s="413"/>
      <c r="AL1" s="413"/>
      <c r="AM1" s="413"/>
      <c r="AN1" s="413"/>
      <c r="AO1" s="414" t="s">
        <v>109</v>
      </c>
      <c r="AP1" s="414"/>
      <c r="AQ1" s="414"/>
      <c r="AR1" s="414"/>
      <c r="AS1" s="414"/>
      <c r="AT1" s="414"/>
      <c r="AU1" s="414"/>
      <c r="AV1" s="414"/>
      <c r="AW1" s="414"/>
      <c r="AX1" s="414"/>
      <c r="AY1"/>
      <c r="AZ1"/>
      <c r="BA1" s="113"/>
      <c r="BB1" s="118" t="s">
        <v>110</v>
      </c>
      <c r="BC1" s="94"/>
      <c r="BD1" s="115"/>
      <c r="BE1" s="115"/>
      <c r="BF1" s="115"/>
      <c r="BG1" s="113"/>
      <c r="BH1" s="117"/>
      <c r="BI1" s="113"/>
      <c r="BJ1" s="94"/>
      <c r="BK1" s="52"/>
      <c r="BL1" s="119" t="s">
        <v>111</v>
      </c>
      <c r="BM1" s="93"/>
      <c r="BN1" s="93"/>
      <c r="BO1" s="93"/>
      <c r="BP1" s="93"/>
      <c r="BQ1" s="93"/>
      <c r="BR1" s="93"/>
      <c r="BS1" s="116"/>
      <c r="BT1" s="93"/>
      <c r="BU1" s="93"/>
      <c r="BV1" s="139" t="s">
        <v>224</v>
      </c>
      <c r="BW1" s="415" t="s">
        <v>231</v>
      </c>
      <c r="BX1" s="415"/>
      <c r="BY1" s="395"/>
      <c r="BZ1" s="140" t="s">
        <v>151</v>
      </c>
      <c r="CA1" s="57"/>
      <c r="CB1" s="57"/>
      <c r="CC1" s="139" t="s">
        <v>152</v>
      </c>
      <c r="CE1" s="400" t="s">
        <v>153</v>
      </c>
      <c r="CF1" s="400" t="s">
        <v>153</v>
      </c>
      <c r="CG1" s="248" t="s">
        <v>152</v>
      </c>
      <c r="CH1" s="400" t="s">
        <v>153</v>
      </c>
      <c r="CI1" s="44"/>
      <c r="CJ1" s="57"/>
      <c r="CK1" s="400" t="s">
        <v>153</v>
      </c>
      <c r="CL1" s="140" t="s">
        <v>151</v>
      </c>
      <c r="CM1" s="140"/>
      <c r="CO1" s="422" t="s">
        <v>301</v>
      </c>
      <c r="CP1" s="422"/>
      <c r="CQ1" s="422"/>
      <c r="CU1" s="423" t="s">
        <v>226</v>
      </c>
      <c r="CV1" s="423"/>
      <c r="CW1" s="423"/>
      <c r="CX1" s="423"/>
      <c r="CY1" s="423"/>
      <c r="CZ1" s="423"/>
      <c r="DB1" s="424" t="s">
        <v>182</v>
      </c>
      <c r="DC1" s="424"/>
      <c r="DD1" s="424"/>
    </row>
    <row r="2" spans="1:135" s="151" customFormat="1" ht="12.75" customHeight="1" x14ac:dyDescent="0.2">
      <c r="B2" s="276" t="s">
        <v>356</v>
      </c>
      <c r="C2" s="276"/>
      <c r="D2" s="276"/>
      <c r="E2" s="276"/>
      <c r="F2" s="276"/>
      <c r="G2" s="276"/>
      <c r="H2" s="276"/>
      <c r="I2" s="276"/>
      <c r="J2" s="276"/>
      <c r="K2" s="276"/>
      <c r="L2" s="276"/>
      <c r="M2" s="276"/>
      <c r="N2" s="276"/>
      <c r="O2" s="276"/>
      <c r="P2" s="276"/>
      <c r="Q2" s="276"/>
      <c r="R2" s="276"/>
      <c r="S2" s="276"/>
      <c r="W2" s="402"/>
      <c r="Z2" s="402" t="s">
        <v>217</v>
      </c>
      <c r="AH2" s="272"/>
      <c r="AI2" s="272"/>
      <c r="AJ2" s="273" t="s">
        <v>238</v>
      </c>
      <c r="AK2" s="173"/>
      <c r="AL2" s="279" t="s">
        <v>217</v>
      </c>
      <c r="AM2" s="173"/>
      <c r="AN2" s="402" t="s">
        <v>217</v>
      </c>
      <c r="AO2" s="402"/>
      <c r="AP2" s="402"/>
      <c r="AQ2" s="402" t="s">
        <v>217</v>
      </c>
      <c r="AR2" s="402"/>
      <c r="AS2" s="402" t="s">
        <v>217</v>
      </c>
      <c r="AT2" s="402" t="s">
        <v>217</v>
      </c>
      <c r="AU2" s="279"/>
      <c r="AV2" s="402"/>
      <c r="AW2" s="402"/>
      <c r="AX2" s="402" t="s">
        <v>217</v>
      </c>
      <c r="AY2" s="173"/>
      <c r="AZ2" s="279" t="s">
        <v>217</v>
      </c>
      <c r="BA2" s="402"/>
      <c r="BB2" s="402"/>
      <c r="BC2" s="402"/>
      <c r="BD2" s="402"/>
      <c r="BE2" s="402" t="s">
        <v>348</v>
      </c>
      <c r="BF2" s="151" t="s">
        <v>348</v>
      </c>
      <c r="BG2" s="402" t="s">
        <v>217</v>
      </c>
      <c r="BH2" s="279" t="s">
        <v>217</v>
      </c>
      <c r="BI2" s="402"/>
      <c r="BJ2" s="402"/>
      <c r="BK2" s="402"/>
      <c r="BL2" s="402"/>
      <c r="BM2" s="402"/>
      <c r="BN2" s="402"/>
      <c r="BO2" s="402" t="s">
        <v>348</v>
      </c>
      <c r="BP2" s="151" t="s">
        <v>348</v>
      </c>
      <c r="BQ2" s="402"/>
      <c r="BR2" s="402"/>
      <c r="BS2" s="279" t="s">
        <v>217</v>
      </c>
      <c r="BT2" s="402"/>
      <c r="BU2" s="402"/>
      <c r="BV2" s="402" t="s">
        <v>217</v>
      </c>
      <c r="BW2" s="402" t="s">
        <v>217</v>
      </c>
      <c r="BX2" s="300" t="s">
        <v>217</v>
      </c>
      <c r="BY2" s="402"/>
      <c r="BZ2" s="402"/>
      <c r="CA2" s="270" t="s">
        <v>217</v>
      </c>
      <c r="CB2" s="271" t="s">
        <v>217</v>
      </c>
      <c r="CC2" s="402" t="s">
        <v>217</v>
      </c>
      <c r="CF2" s="402" t="s">
        <v>217</v>
      </c>
      <c r="CG2" s="299" t="s">
        <v>217</v>
      </c>
      <c r="CH2" s="263" t="s">
        <v>217</v>
      </c>
      <c r="CI2" s="402"/>
      <c r="CJ2" s="402"/>
      <c r="CK2" s="402" t="s">
        <v>217</v>
      </c>
      <c r="CL2" s="402"/>
      <c r="CM2" s="402"/>
      <c r="CN2" s="402"/>
      <c r="CO2" s="422"/>
      <c r="CP2" s="422"/>
      <c r="CQ2" s="422"/>
      <c r="CR2" s="425" t="s">
        <v>217</v>
      </c>
      <c r="CS2" s="425"/>
      <c r="CT2" s="401"/>
      <c r="CU2" s="426" t="s">
        <v>217</v>
      </c>
      <c r="CV2" s="427"/>
      <c r="CW2" s="427"/>
      <c r="CX2" s="402"/>
      <c r="CY2" s="402" t="s">
        <v>217</v>
      </c>
      <c r="CZ2" s="402" t="s">
        <v>217</v>
      </c>
      <c r="DA2" s="402"/>
      <c r="DB2" s="261"/>
      <c r="DC2" s="261" t="s">
        <v>217</v>
      </c>
      <c r="DD2" s="402" t="s">
        <v>217</v>
      </c>
    </row>
    <row r="3" spans="1:135" ht="89.25" customHeight="1" x14ac:dyDescent="0.2">
      <c r="A3" s="416"/>
      <c r="C3" s="255"/>
      <c r="D3" s="255"/>
      <c r="E3" s="255"/>
      <c r="F3" s="255"/>
      <c r="G3" s="255"/>
      <c r="H3" s="255"/>
      <c r="I3" s="255"/>
      <c r="J3" s="255"/>
      <c r="K3" s="255"/>
      <c r="L3" s="255"/>
      <c r="M3" s="255"/>
      <c r="N3" s="255"/>
      <c r="O3" s="255"/>
      <c r="P3" s="255"/>
      <c r="Q3" s="255"/>
      <c r="R3" s="255"/>
      <c r="S3" s="256"/>
      <c r="T3" s="396" t="s">
        <v>194</v>
      </c>
      <c r="U3" s="396" t="s">
        <v>136</v>
      </c>
      <c r="V3" s="1" t="s">
        <v>157</v>
      </c>
      <c r="W3" s="396" t="s">
        <v>312</v>
      </c>
      <c r="X3" s="234" t="s">
        <v>195</v>
      </c>
      <c r="Y3" s="122" t="str">
        <f>CQ3</f>
        <v>Alcohol wash of 1/2 cup of young bees</v>
      </c>
      <c r="Z3" s="159" t="s">
        <v>144</v>
      </c>
      <c r="AA3" s="396" t="s">
        <v>142</v>
      </c>
      <c r="AB3" s="417" t="s">
        <v>154</v>
      </c>
      <c r="AC3" s="417"/>
      <c r="AD3" s="417"/>
      <c r="AE3" s="417"/>
      <c r="AF3" s="417"/>
      <c r="AG3" s="417"/>
      <c r="AH3" s="418" t="s">
        <v>237</v>
      </c>
      <c r="AI3" s="418"/>
      <c r="AJ3" s="405" t="s">
        <v>0</v>
      </c>
      <c r="AK3" s="63" t="s">
        <v>92</v>
      </c>
      <c r="AL3" s="24" t="s">
        <v>7</v>
      </c>
      <c r="AM3" s="397" t="s">
        <v>93</v>
      </c>
      <c r="AN3" s="25" t="s">
        <v>9</v>
      </c>
      <c r="AO3" s="403" t="s">
        <v>8</v>
      </c>
      <c r="AP3" s="403" t="s">
        <v>91</v>
      </c>
      <c r="AQ3" s="403" t="s">
        <v>147</v>
      </c>
      <c r="AR3" s="403" t="s">
        <v>10</v>
      </c>
      <c r="AS3" s="143" t="s">
        <v>145</v>
      </c>
      <c r="AT3" s="141" t="s">
        <v>98</v>
      </c>
      <c r="AU3" s="403" t="s">
        <v>95</v>
      </c>
      <c r="AV3" s="130" t="s">
        <v>94</v>
      </c>
      <c r="AW3" s="403" t="s">
        <v>99</v>
      </c>
      <c r="AX3" s="26" t="s">
        <v>97</v>
      </c>
      <c r="AY3" s="172" t="s">
        <v>314</v>
      </c>
      <c r="AZ3" s="312" t="s">
        <v>315</v>
      </c>
      <c r="BA3" s="69" t="s">
        <v>317</v>
      </c>
      <c r="BB3" s="69" t="s">
        <v>318</v>
      </c>
      <c r="BC3" s="69" t="s">
        <v>100</v>
      </c>
      <c r="BD3" s="69" t="s">
        <v>115</v>
      </c>
      <c r="BE3" s="69" t="s">
        <v>138</v>
      </c>
      <c r="BF3" s="69" t="s">
        <v>141</v>
      </c>
      <c r="BG3" s="69" t="s">
        <v>103</v>
      </c>
      <c r="BH3" s="69" t="s">
        <v>137</v>
      </c>
      <c r="BI3" s="69" t="s">
        <v>122</v>
      </c>
      <c r="BJ3" s="69" t="s">
        <v>121</v>
      </c>
      <c r="BK3" s="410" t="s">
        <v>124</v>
      </c>
      <c r="BL3" s="70" t="s">
        <v>96</v>
      </c>
      <c r="BM3" s="410" t="s">
        <v>101</v>
      </c>
      <c r="BN3" s="410" t="s">
        <v>116</v>
      </c>
      <c r="BO3" s="411" t="s">
        <v>139</v>
      </c>
      <c r="BP3" s="411" t="s">
        <v>140</v>
      </c>
      <c r="BQ3" s="410" t="s">
        <v>102</v>
      </c>
      <c r="BR3" s="410" t="s">
        <v>104</v>
      </c>
      <c r="BS3" s="410" t="s">
        <v>137</v>
      </c>
      <c r="BT3" s="410" t="s">
        <v>122</v>
      </c>
      <c r="BU3" s="410" t="s">
        <v>123</v>
      </c>
      <c r="BV3" s="409" t="s">
        <v>223</v>
      </c>
      <c r="BW3" s="133" t="s">
        <v>230</v>
      </c>
      <c r="BX3" s="133" t="s">
        <v>222</v>
      </c>
      <c r="BY3" s="133"/>
      <c r="BZ3" s="56" t="s">
        <v>203</v>
      </c>
      <c r="CA3" s="133" t="s">
        <v>225</v>
      </c>
      <c r="CB3" s="133" t="s">
        <v>219</v>
      </c>
      <c r="CC3" s="148" t="s">
        <v>209</v>
      </c>
      <c r="CD3" s="133" t="s">
        <v>228</v>
      </c>
      <c r="CE3" s="135" t="s">
        <v>229</v>
      </c>
      <c r="CF3" s="135" t="s">
        <v>221</v>
      </c>
      <c r="CG3" s="249" t="s">
        <v>113</v>
      </c>
      <c r="CH3" s="137" t="s">
        <v>135</v>
      </c>
      <c r="CI3" s="97" t="s">
        <v>234</v>
      </c>
      <c r="CJ3" s="133" t="s">
        <v>233</v>
      </c>
      <c r="CK3" s="96" t="s">
        <v>129</v>
      </c>
      <c r="CL3" s="56" t="s">
        <v>232</v>
      </c>
      <c r="CM3" s="403" t="s">
        <v>311</v>
      </c>
      <c r="CN3" s="405" t="s">
        <v>0</v>
      </c>
      <c r="CO3" s="403" t="s">
        <v>11</v>
      </c>
      <c r="CP3" s="26" t="s">
        <v>12</v>
      </c>
      <c r="CQ3" s="62" t="s">
        <v>114</v>
      </c>
      <c r="CR3" s="363" t="s">
        <v>319</v>
      </c>
      <c r="CS3" s="363" t="s">
        <v>320</v>
      </c>
      <c r="CT3" s="363" t="s">
        <v>313</v>
      </c>
      <c r="CU3" s="403" t="s">
        <v>127</v>
      </c>
      <c r="CV3" s="403" t="s">
        <v>128</v>
      </c>
      <c r="CW3" s="26" t="s">
        <v>214</v>
      </c>
      <c r="CX3" s="26" t="s">
        <v>347</v>
      </c>
      <c r="CY3" s="26" t="s">
        <v>158</v>
      </c>
      <c r="CZ3" s="264" t="s">
        <v>215</v>
      </c>
      <c r="DB3" s="403" t="s">
        <v>179</v>
      </c>
      <c r="DC3" s="168" t="s">
        <v>180</v>
      </c>
      <c r="DD3" s="403" t="s">
        <v>181</v>
      </c>
      <c r="DH3" s="437" t="s">
        <v>227</v>
      </c>
      <c r="DI3" s="437"/>
      <c r="DK3" s="250" t="s">
        <v>162</v>
      </c>
      <c r="DL3" s="403" t="s">
        <v>89</v>
      </c>
    </row>
    <row r="4" spans="1:135" x14ac:dyDescent="0.2">
      <c r="A4" s="416"/>
      <c r="T4" s="125"/>
      <c r="U4" s="2">
        <f t="shared" ref="U4:U28" si="0">IF($P$27="x", DI4,DH4)</f>
        <v>40544</v>
      </c>
      <c r="V4" s="59">
        <f>IF(CT4&gt;0,"",BZ4*10)</f>
        <v>750</v>
      </c>
      <c r="W4" s="310">
        <f>IF(CT4&gt;0,"",CM4)</f>
        <v>-5.0125418235442915E-3</v>
      </c>
      <c r="X4" s="235">
        <f>IF(CT4&gt;0,"",CG4)</f>
        <v>0</v>
      </c>
      <c r="Y4" s="123">
        <f>IF(CT4&gt;0,"",CQ4)</f>
        <v>1.4765625</v>
      </c>
      <c r="Z4" s="4" t="str">
        <f t="shared" ref="Z4:Z28" si="1">IF(CT4&gt;0,"",IF(AN4&lt;5,"n/a",BO4))</f>
        <v>n/a</v>
      </c>
      <c r="AA4" s="3">
        <f t="shared" ref="AA4:AA28" si="2">IF(CT4&gt;0,"",AU4)</f>
        <v>1</v>
      </c>
      <c r="AB4" s="127"/>
      <c r="AC4" s="438"/>
      <c r="AD4" s="438"/>
      <c r="AE4" s="438"/>
      <c r="AF4" s="127"/>
      <c r="AG4" s="127"/>
      <c r="AH4" s="127"/>
      <c r="AI4" s="437" t="s">
        <v>90</v>
      </c>
      <c r="AJ4" s="274">
        <f>U4</f>
        <v>40544</v>
      </c>
      <c r="AK4" s="394">
        <f>IF($B$29="d",Colony!H31,IF($B$29="n",Colony!H59,IF($B$29="p",Colony!H87,IF($B$29="a",Colony!H115,IF($B$29="b",Colony!H143,IF($B$29="c",Colony!H171,IF($B$29="r",Colony!H199,IF($B$29="s",Colony!H227,IF($B$29="f",Colony!H255,"error")))))))))</f>
        <v>8</v>
      </c>
      <c r="AL4">
        <f t="shared" ref="AL4:AL27" si="3">AK4*$AK$44</f>
        <v>16000</v>
      </c>
      <c r="AM4" s="81">
        <f>IF($B$29="d",Colony!F31,IF($B$29="n",Colony!F59,IF($B$29="p",Colony!F87,IF($B$29="a",Colony!F115,IF($B$29="b",Colony!F143,IF($B$29="c",Colony!F171,IF($B$29="r",Colony!F199,IF($B$29="s",Colony!F227,IF($B$29="f",Colony!F255,"error")))))))))</f>
        <v>0</v>
      </c>
      <c r="AN4" s="17">
        <f t="shared" ref="AN4:AN27" si="4">IF(AM4=0,1,$AK$43*AM4)</f>
        <v>1</v>
      </c>
      <c r="AO4" s="21">
        <f t="shared" ref="AO4:AO27" si="5">IF(AL4=0,0,AN4/AL4)</f>
        <v>6.2500000000000001E-5</v>
      </c>
      <c r="AP4">
        <f>AN4*12/20</f>
        <v>0.6</v>
      </c>
      <c r="AQ4" s="18">
        <f>BO4*AP4</f>
        <v>0</v>
      </c>
      <c r="AR4" s="18">
        <f t="shared" ref="AR4:AR27" si="6">AN4/20</f>
        <v>0.05</v>
      </c>
      <c r="AS4" s="142">
        <f>IF(AO4=0,0.001,(-$AK$42*LN(AO4))+$AK$41)</f>
        <v>53.401720006109592</v>
      </c>
      <c r="AT4" s="27">
        <f t="shared" ref="AT4:AT27" si="7">AS4+12</f>
        <v>65.401720006109599</v>
      </c>
      <c r="AU4" s="32">
        <f t="shared" ref="AU4:AU27" si="8">IF(AM4=0,1,AS4/AT4)</f>
        <v>1</v>
      </c>
      <c r="AV4" s="131">
        <f t="shared" ref="AV4:AV27" si="9">1-AU4</f>
        <v>0</v>
      </c>
      <c r="AW4" s="28">
        <f t="shared" ref="AW4:AW28" si="10">BZ4*AV4</f>
        <v>0</v>
      </c>
      <c r="AX4" s="258">
        <f t="shared" ref="AX4:AX27" si="11">0.6*AN4</f>
        <v>0.6</v>
      </c>
      <c r="AY4" s="80">
        <f>IF($B$29="d",Colony!J31,IF($B$29="n",Colony!J59,IF($B$29="p",Colony!J87,IF($B$29="a",Colony!J115,IF($B$29="b",Colony!J143,IF($B$29="c",Colony!J171,IF($B$29="r",Colony!J199,IF($B$29="s",Colony!J199,IF($B$29="f",Colony!J255,"error")))))))))</f>
        <v>0</v>
      </c>
      <c r="AZ4" s="106">
        <f>AY4*16/25</f>
        <v>0</v>
      </c>
      <c r="BA4" s="75">
        <f>AZ4*$AK$42</f>
        <v>0</v>
      </c>
      <c r="BB4" s="102">
        <f>BA4*AV4</f>
        <v>0</v>
      </c>
      <c r="BC4" s="72">
        <f t="shared" ref="BC4:BC27" si="12">BA4*AW4</f>
        <v>0</v>
      </c>
      <c r="BD4" s="73">
        <f>IF(AZ4=0,0,BC4/(AX4*AZ4))</f>
        <v>0</v>
      </c>
      <c r="BE4" s="369">
        <f>1-(_xlfn.POISSON.DIST(0,BD4,FALSE))</f>
        <v>0</v>
      </c>
      <c r="BF4" s="370">
        <f>IF(BE4=0,0,BD4/BE4)</f>
        <v>0</v>
      </c>
      <c r="BG4" s="73">
        <f t="shared" ref="BG4:BG27" si="13">AS4+15</f>
        <v>68.401720006109599</v>
      </c>
      <c r="BH4" s="368">
        <v>1</v>
      </c>
      <c r="BI4" s="84">
        <f t="shared" ref="BI4:BI27" si="14">(1+($AK$31*BH4))*$AK$46</f>
        <v>4.2749999999999995</v>
      </c>
      <c r="BJ4" s="78">
        <f>LN(BI4)/14.75</f>
        <v>9.8493837450082944E-2</v>
      </c>
      <c r="BK4" s="103">
        <f>1-AU4-BB4</f>
        <v>0</v>
      </c>
      <c r="BL4" s="71">
        <f>(1-AZ4)*AX4</f>
        <v>0.6</v>
      </c>
      <c r="BM4" s="71">
        <f t="shared" ref="BM4:BM27" si="15">AW4-BC4</f>
        <v>0</v>
      </c>
      <c r="BN4" s="74">
        <f t="shared" ref="BN4:BN27" si="16">BM4/BL4</f>
        <v>0</v>
      </c>
      <c r="BO4" s="366">
        <f>1-(_xlfn.POISSON.DIST(0,BN4,FALSE))</f>
        <v>0</v>
      </c>
      <c r="BP4" s="368">
        <f>BN4/(BO4+0.000001)</f>
        <v>0</v>
      </c>
      <c r="BQ4" s="76">
        <f t="shared" ref="BQ4:BQ28" si="17">1-BA4</f>
        <v>1</v>
      </c>
      <c r="BR4" s="74">
        <f t="shared" ref="BR4:BR28" si="18">AS4+12</f>
        <v>65.401720006109599</v>
      </c>
      <c r="BS4" s="367">
        <v>1</v>
      </c>
      <c r="BT4" s="83">
        <f>(1+($AK$29*BS4))*$AK$46</f>
        <v>2.2586249999999999</v>
      </c>
      <c r="BU4" s="79">
        <f t="shared" ref="BU4:BU28" si="19">IF(BZ4&gt;2*BL4,0,LN(BT4)/12.5)</f>
        <v>0</v>
      </c>
      <c r="BV4" s="112">
        <f t="shared" ref="BV4:BV28" si="20">(BB4*BJ4+BK4*BU4)</f>
        <v>0</v>
      </c>
      <c r="BW4" s="55">
        <f t="shared" ref="BW4:BW28" si="21">IF(AO4&gt;0.25,$AQ$38,$AQ$37)</f>
        <v>-5.0125418235442863E-3</v>
      </c>
      <c r="BX4" s="134">
        <f t="shared" ref="BX4:BX27" si="22">BV4+BW4</f>
        <v>-5.0125418235442863E-3</v>
      </c>
      <c r="BY4" s="147"/>
      <c r="BZ4" s="105">
        <f>IF(OR($B$29="n",$B$29="p"),0,B31)</f>
        <v>75</v>
      </c>
      <c r="CA4" s="242">
        <f t="shared" ref="CA4:CA27" si="23">BZ4*$AK$30</f>
        <v>52.5</v>
      </c>
      <c r="CB4" s="241">
        <f>CA4</f>
        <v>52.5</v>
      </c>
      <c r="CC4" s="149">
        <f>CB4*EXP(BV4*$AK$36)-CB4</f>
        <v>0</v>
      </c>
      <c r="CD4" s="17">
        <f>BZ4+CC4</f>
        <v>75</v>
      </c>
      <c r="CE4" s="269">
        <f>CD4-CF4</f>
        <v>5.5049375170276278</v>
      </c>
      <c r="CF4" s="136">
        <f t="shared" ref="CF4:CF28" si="24">CD4*EXP((IF(AO4&gt;0.25,$AQ$38,$AQ$37)*$AK$36))</f>
        <v>69.495062482972372</v>
      </c>
      <c r="CG4" s="246">
        <f>IF($B$33=0,0, IF($B$33=1,Colony!AF4,IF($B$33=2,Colony!AG4,IF($B$33=3,Colony!AH4,IF($B$33=4,Colony!AI4,IF($B$33="X",Colony!AK4,"error"))))))</f>
        <v>0</v>
      </c>
      <c r="CH4" s="138"/>
      <c r="CI4" s="240"/>
      <c r="CJ4" s="268">
        <f>CF4+CI4</f>
        <v>69.495062482972372</v>
      </c>
      <c r="CK4" s="136">
        <f t="shared" ref="CK4:CK27" si="25">CJ4*T4</f>
        <v>0</v>
      </c>
      <c r="CL4" s="95">
        <f t="shared" ref="CL4:CL27" si="26">CJ4-CK4</f>
        <v>69.495062482972372</v>
      </c>
      <c r="CM4" s="29">
        <f>LN(CL4/BZ4)/$AK$36</f>
        <v>-5.0125418235442915E-3</v>
      </c>
      <c r="CN4" s="274">
        <f t="shared" ref="CN4:CN28" si="27">U4</f>
        <v>40544</v>
      </c>
      <c r="CO4" s="89">
        <f t="shared" ref="CO4:CO28" si="28">BZ4*AU4</f>
        <v>75</v>
      </c>
      <c r="CP4" s="21">
        <f t="shared" ref="CP4:CP28" si="29">IF(AL4=0,0.001,CO4/AL4)</f>
        <v>4.6874999999999998E-3</v>
      </c>
      <c r="CQ4" s="146">
        <f t="shared" ref="CQ4:CQ27" si="30">CP4*315</f>
        <v>1.4765625</v>
      </c>
      <c r="CR4" s="90"/>
      <c r="CS4" s="90"/>
      <c r="CT4" s="90"/>
      <c r="CU4" s="90"/>
      <c r="CV4" s="90"/>
      <c r="CW4" s="12"/>
      <c r="CX4" s="12"/>
      <c r="CY4" s="239"/>
      <c r="CZ4" s="265"/>
      <c r="DB4" s="364">
        <f>BZ4</f>
        <v>75</v>
      </c>
      <c r="DC4" s="164">
        <v>0</v>
      </c>
      <c r="DD4" s="365">
        <v>0.5</v>
      </c>
      <c r="DH4" s="2">
        <v>40544</v>
      </c>
      <c r="DI4" s="262">
        <v>42917</v>
      </c>
      <c r="DJ4" s="18"/>
      <c r="DK4" s="251"/>
      <c r="DM4" s="18"/>
      <c r="DN4" s="18"/>
      <c r="DO4" s="18"/>
      <c r="DP4" s="18"/>
      <c r="DQ4" s="18"/>
      <c r="DR4" s="18"/>
      <c r="DS4" s="18"/>
      <c r="DT4" s="18"/>
      <c r="DU4" s="18"/>
      <c r="DV4" s="18"/>
      <c r="DW4" s="18"/>
      <c r="DX4" s="18"/>
      <c r="DY4" s="18"/>
      <c r="DZ4" s="18"/>
      <c r="EA4" s="18"/>
      <c r="EB4" s="18"/>
    </row>
    <row r="5" spans="1:135" ht="12.75" customHeight="1" x14ac:dyDescent="0.2">
      <c r="A5" s="416"/>
      <c r="T5" s="125"/>
      <c r="U5" s="2">
        <f t="shared" si="0"/>
        <v>40558</v>
      </c>
      <c r="V5" s="59">
        <f t="shared" ref="V5:V28" si="31">IF(CT5&gt;0,"",BZ5*10)</f>
        <v>694.95062482972367</v>
      </c>
      <c r="W5" s="310">
        <f t="shared" ref="W5:W27" si="32">IF(CT5&gt;0,"",CM5)</f>
        <v>5.2230917719749085E-3</v>
      </c>
      <c r="X5" s="235">
        <f t="shared" ref="X5:X27" si="33">IF(CT5&gt;0,"",CG5)</f>
        <v>0</v>
      </c>
      <c r="Y5" s="123">
        <f t="shared" ref="Y5:Y27" si="34">IF(CT5&gt;0,"",CQ5)</f>
        <v>0.82586412812386956</v>
      </c>
      <c r="Z5" s="4">
        <f t="shared" si="1"/>
        <v>3.9987999291922871E-2</v>
      </c>
      <c r="AA5" s="3">
        <f t="shared" si="2"/>
        <v>0.60362064049089725</v>
      </c>
      <c r="AB5" s="428">
        <v>95</v>
      </c>
      <c r="AC5" s="431" t="s">
        <v>328</v>
      </c>
      <c r="AD5" s="432"/>
      <c r="AE5" s="432"/>
      <c r="AF5" s="432"/>
      <c r="AG5" s="433"/>
      <c r="AI5" s="437"/>
      <c r="AJ5" s="274">
        <f t="shared" ref="AJ5:AJ28" si="35">U5</f>
        <v>40558</v>
      </c>
      <c r="AK5" s="394">
        <f>IF($B$29="d",Colony!H32,IF($B$29="n",Colony!H60,IF($B$29="p",Colony!H88,IF($B$29="a",Colony!H116,IF($B$29="b",Colony!H144,IF($B$29="c",Colony!H172,IF($B$29="r",Colony!H200,IF($B$29="s",Colony!H228,IF($B$29="f",Colony!H256,"error")))))))))</f>
        <v>8</v>
      </c>
      <c r="AL5">
        <f t="shared" si="3"/>
        <v>16000</v>
      </c>
      <c r="AM5" s="81">
        <f>IF($B$29="d",Colony!F32,IF($B$29="n",Colony!F60,IF($B$29="p",Colony!F88,IF($B$29="a",Colony!F116,IF($B$29="b",Colony!F144,IF($B$29="c",Colony!F172,IF($B$29="r",Colony!F200,IF($B$29="s",Colony!F228,IF($B$29="f",Colony!F256,"error")))))))))</f>
        <v>0.25</v>
      </c>
      <c r="AN5" s="17">
        <f t="shared" si="4"/>
        <v>1125</v>
      </c>
      <c r="AO5" s="21">
        <f t="shared" si="5"/>
        <v>7.03125E-2</v>
      </c>
      <c r="AP5">
        <f t="shared" ref="AP5:AP27" si="36">AN5*12/20</f>
        <v>675</v>
      </c>
      <c r="AQ5" s="18">
        <f t="shared" ref="AQ5:AQ27" si="37">BO5*AP5</f>
        <v>26.991899522047937</v>
      </c>
      <c r="AR5" s="18">
        <f t="shared" si="6"/>
        <v>56.25</v>
      </c>
      <c r="AS5" s="142">
        <f t="shared" ref="AS5:AS27" si="38">IF(AO5=0,0.001,(-$AK$42*LN(AO5))+$AK$41)</f>
        <v>18.274028432916989</v>
      </c>
      <c r="AT5" s="27">
        <f t="shared" si="7"/>
        <v>30.274028432916989</v>
      </c>
      <c r="AU5" s="32">
        <f t="shared" si="8"/>
        <v>0.60362064049089725</v>
      </c>
      <c r="AV5" s="131">
        <f t="shared" si="9"/>
        <v>0.39637935950910275</v>
      </c>
      <c r="AW5" s="28">
        <f t="shared" si="10"/>
        <v>27.546408356045664</v>
      </c>
      <c r="AX5" s="258">
        <f t="shared" si="11"/>
        <v>675</v>
      </c>
      <c r="AY5" s="80">
        <f>IF($B$29="d",Colony!J32,IF($B$29="n",Colony!J60,IF($B$29="p",Colony!J88,IF($B$29="a",Colony!J116,IF($B$29="b",Colony!J144,IF($B$29="c",Colony!J172,IF($B$29="r",Colony!J200,IF($B$29="s",Colony!J200,IF($B$29="f",Colony!J256,"error")))))))))</f>
        <v>0</v>
      </c>
      <c r="AZ5" s="106">
        <f t="shared" ref="AZ5:AZ28" si="39">AY5*16/25</f>
        <v>0</v>
      </c>
      <c r="BA5" s="75">
        <f t="shared" ref="BA5:BA28" si="40">AZ5*$AK$42</f>
        <v>0</v>
      </c>
      <c r="BB5" s="102">
        <f t="shared" ref="BB5:BB27" si="41">BA5*AV5</f>
        <v>0</v>
      </c>
      <c r="BC5" s="72">
        <f t="shared" si="12"/>
        <v>0</v>
      </c>
      <c r="BD5" s="73">
        <f t="shared" ref="BD5:BD27" si="42">IF(AZ5=0,0,BC5/(AX5*AZ5))</f>
        <v>0</v>
      </c>
      <c r="BE5" s="369">
        <f t="shared" ref="BE5:BE28" si="43">1-(_xlfn.POISSON.DIST(0,BD5,FALSE))</f>
        <v>0</v>
      </c>
      <c r="BF5" s="370">
        <f t="shared" ref="BF5:BF27" si="44">IF(BE5=0,0,BD5/BE5)</f>
        <v>0</v>
      </c>
      <c r="BG5" s="73">
        <f t="shared" si="13"/>
        <v>33.274028432916992</v>
      </c>
      <c r="BH5" s="368">
        <v>1</v>
      </c>
      <c r="BI5" s="84">
        <f t="shared" si="14"/>
        <v>4.2749999999999995</v>
      </c>
      <c r="BJ5" s="78">
        <f t="shared" ref="BJ5:BJ27" si="45">LN(BI5)/14.75</f>
        <v>9.8493837450082944E-2</v>
      </c>
      <c r="BK5" s="103">
        <f t="shared" ref="BK5:BK27" si="46">1-AU5-BB5</f>
        <v>0.39637935950910275</v>
      </c>
      <c r="BL5" s="71">
        <f t="shared" ref="BL5:BL27" si="47">(1-AZ5)*AX5</f>
        <v>675</v>
      </c>
      <c r="BM5" s="71">
        <f>AW5-BC5</f>
        <v>27.546408356045664</v>
      </c>
      <c r="BN5" s="74">
        <f t="shared" si="16"/>
        <v>4.0809493860808392E-2</v>
      </c>
      <c r="BO5" s="366">
        <f t="shared" ref="BO5:BO28" si="48">1-(_xlfn.POISSON.DIST(0,BN5,FALSE))</f>
        <v>3.9987999291922871E-2</v>
      </c>
      <c r="BP5" s="368">
        <f t="shared" ref="BP5:BP28" si="49">BN5/(BO5+0.000001)</f>
        <v>1.0205180070372815</v>
      </c>
      <c r="BQ5" s="76">
        <f t="shared" si="17"/>
        <v>1</v>
      </c>
      <c r="BR5" s="74">
        <f t="shared" si="18"/>
        <v>30.274028432916989</v>
      </c>
      <c r="BS5" s="367">
        <v>1</v>
      </c>
      <c r="BT5" s="83">
        <f t="shared" ref="BT5:BT28" si="50">(1+($AK$29*BS5))*$AK$46</f>
        <v>2.2586249999999999</v>
      </c>
      <c r="BU5" s="79">
        <f t="shared" si="19"/>
        <v>6.518049768398862E-2</v>
      </c>
      <c r="BV5" s="112">
        <f t="shared" si="20"/>
        <v>2.5836203924463966E-2</v>
      </c>
      <c r="BW5" s="55">
        <f t="shared" si="21"/>
        <v>-5.0125418235442863E-3</v>
      </c>
      <c r="BX5" s="134">
        <f t="shared" si="22"/>
        <v>2.0823662100919679E-2</v>
      </c>
      <c r="BY5" s="134"/>
      <c r="BZ5" s="391">
        <f>IF(OR($B$29="n",$B$29="p"),0,CL4)</f>
        <v>69.495062482972372</v>
      </c>
      <c r="CA5" s="242">
        <f t="shared" si="23"/>
        <v>48.646543738080659</v>
      </c>
      <c r="CB5" s="242">
        <f>CA5*(1-DD4)</f>
        <v>24.32327186904033</v>
      </c>
      <c r="CC5" s="149">
        <f t="shared" ref="CC5:CC14" si="51">CB5*EXP(BV5*$AK$36)-CB5</f>
        <v>11.706989663918971</v>
      </c>
      <c r="CD5" s="17">
        <f t="shared" ref="CD5:CD27" si="52">BZ5+CC5</f>
        <v>81.202052146891347</v>
      </c>
      <c r="CE5" s="269">
        <f t="shared" ref="CE5:CE27" si="53">CD5-CF5</f>
        <v>5.960162977640735</v>
      </c>
      <c r="CF5" s="136">
        <f t="shared" si="24"/>
        <v>75.241889169250612</v>
      </c>
      <c r="CG5" s="246">
        <f>IF($B$33=0,0, IF($B$33=1,Colony!AF5,IF($B$33=2,Colony!AG5,IF($B$33=3,Colony!AH5,IF($B$33=4,Colony!AI5,IF($B$33="X",Colony!AK5,"error"))))))</f>
        <v>0</v>
      </c>
      <c r="CH5" s="138">
        <f t="shared" ref="CH5:CH27" si="54">IF(CZ5&gt;CO5*CY5,-CO5*CY5,-CZ5)</f>
        <v>-1.3457161016304123E-3</v>
      </c>
      <c r="CI5" s="98">
        <f>CG5+CH5</f>
        <v>-1.3457161016304123E-3</v>
      </c>
      <c r="CJ5" s="268">
        <f t="shared" ref="CJ5:CJ27" si="55">CF5+CI5</f>
        <v>75.240543453148987</v>
      </c>
      <c r="CK5" s="136">
        <f t="shared" si="25"/>
        <v>0</v>
      </c>
      <c r="CL5" s="95">
        <f t="shared" si="26"/>
        <v>75.240543453148987</v>
      </c>
      <c r="CM5" s="29">
        <f t="shared" ref="CM5:CM27" si="56">LN(CL5/BZ5)/$AK$36</f>
        <v>5.2230917719749085E-3</v>
      </c>
      <c r="CN5" s="274">
        <f t="shared" si="27"/>
        <v>40558</v>
      </c>
      <c r="CO5" s="89">
        <f t="shared" si="28"/>
        <v>41.948654126926705</v>
      </c>
      <c r="CP5" s="21">
        <f t="shared" si="29"/>
        <v>2.6217908829329192E-3</v>
      </c>
      <c r="CQ5" s="146">
        <f t="shared" si="30"/>
        <v>0.82586412812386956</v>
      </c>
      <c r="CR5" s="90"/>
      <c r="CS5" s="90"/>
      <c r="CT5" s="90"/>
      <c r="CU5" s="17">
        <f t="shared" ref="CU5:CU28" si="57">AN4*0.9/20*$AK$36</f>
        <v>0.68437499999999996</v>
      </c>
      <c r="CV5" s="18">
        <f t="shared" ref="CV5:CV28" si="58">AL5-AL4</f>
        <v>0</v>
      </c>
      <c r="CW5" s="267">
        <f t="shared" ref="CW5:CW27" si="59">CU5-CV5</f>
        <v>0.68437499999999996</v>
      </c>
      <c r="CX5" s="267">
        <f>CW5/$AK$36</f>
        <v>4.4999999999999998E-2</v>
      </c>
      <c r="CY5" s="104">
        <f t="shared" ref="CY5:CY27" si="60">IF(CP5&gt;0.15,1,$AK$35)</f>
        <v>0.75</v>
      </c>
      <c r="CZ5" s="266">
        <f t="shared" ref="CZ5:CZ27" si="61">CW5*CY5*CP5</f>
        <v>1.3457161016304123E-3</v>
      </c>
      <c r="DB5" s="17">
        <f>CC5</f>
        <v>11.706989663918971</v>
      </c>
      <c r="DC5" s="164">
        <v>0</v>
      </c>
      <c r="DD5" s="37">
        <f>DC$59</f>
        <v>0</v>
      </c>
      <c r="DH5" s="2">
        <v>40558</v>
      </c>
      <c r="DI5" s="262">
        <v>42931</v>
      </c>
      <c r="DJ5" s="18"/>
      <c r="DK5" s="251"/>
      <c r="DL5">
        <v>5.67</v>
      </c>
      <c r="DM5" s="18"/>
      <c r="DN5" s="18"/>
      <c r="DO5" s="18"/>
      <c r="DP5" s="18"/>
      <c r="DQ5" s="18"/>
      <c r="DR5" s="18"/>
      <c r="DS5" s="18"/>
      <c r="DT5" s="18"/>
      <c r="DU5" s="18"/>
      <c r="DV5" s="18"/>
      <c r="DW5" s="18"/>
      <c r="DX5" s="18"/>
      <c r="DY5" s="18"/>
      <c r="DZ5" s="18"/>
      <c r="EA5" s="18"/>
      <c r="EB5" s="18"/>
      <c r="EC5" s="18"/>
      <c r="ED5" s="18"/>
      <c r="EE5" s="18"/>
    </row>
    <row r="6" spans="1:135" ht="12.95" customHeight="1" x14ac:dyDescent="0.2">
      <c r="A6" s="416"/>
      <c r="T6" s="125"/>
      <c r="U6" s="2">
        <f t="shared" si="0"/>
        <v>40575</v>
      </c>
      <c r="V6" s="59">
        <f t="shared" si="31"/>
        <v>752.40543453148985</v>
      </c>
      <c r="W6" s="310">
        <f t="shared" si="32"/>
        <v>1.5660171392187484E-2</v>
      </c>
      <c r="X6" s="235">
        <f t="shared" si="33"/>
        <v>0</v>
      </c>
      <c r="Y6" s="123">
        <f t="shared" si="34"/>
        <v>0.81823551551998575</v>
      </c>
      <c r="Z6" s="4">
        <f t="shared" si="1"/>
        <v>2.4639063053931154E-2</v>
      </c>
      <c r="AA6" s="3">
        <f t="shared" si="2"/>
        <v>0.55237731062062867</v>
      </c>
      <c r="AB6" s="429"/>
      <c r="AC6" s="434"/>
      <c r="AD6" s="435"/>
      <c r="AE6" s="435"/>
      <c r="AF6" s="435"/>
      <c r="AG6" s="436"/>
      <c r="AI6" s="437"/>
      <c r="AJ6" s="274">
        <f t="shared" si="35"/>
        <v>40575</v>
      </c>
      <c r="AK6" s="394">
        <f>IF($B$29="d",Colony!H33,IF($B$29="n",Colony!H61,IF($B$29="p",Colony!H89,IF($B$29="a",Colony!H117,IF($B$29="b",Colony!H145,IF($B$29="c",Colony!H173,IF($B$29="r",Colony!H201,IF($B$29="s",Colony!H229,IF($B$29="f",Colony!H257,"error")))))))))</f>
        <v>8</v>
      </c>
      <c r="AL6">
        <f t="shared" si="3"/>
        <v>16000</v>
      </c>
      <c r="AM6" s="81">
        <f>IF($B$29="d",Colony!F33,IF($B$29="n",Colony!F61,IF($B$29="p",Colony!F89,IF($B$29="a",Colony!F117,IF($B$29="b",Colony!F145,IF($B$29="c",Colony!F173,IF($B$29="r",Colony!F201,IF($B$29="s",Colony!F229,IF($B$29="f",Colony!F257,"error")))))))))</f>
        <v>0.5</v>
      </c>
      <c r="AN6" s="17">
        <f t="shared" si="4"/>
        <v>2250</v>
      </c>
      <c r="AO6" s="21">
        <f t="shared" si="5"/>
        <v>0.140625</v>
      </c>
      <c r="AP6">
        <f t="shared" si="36"/>
        <v>1350</v>
      </c>
      <c r="AQ6" s="18">
        <f t="shared" si="37"/>
        <v>33.262735122807058</v>
      </c>
      <c r="AR6" s="18">
        <f t="shared" si="6"/>
        <v>112.5</v>
      </c>
      <c r="AS6" s="142">
        <f t="shared" si="38"/>
        <v>14.808292530117262</v>
      </c>
      <c r="AT6" s="27">
        <f t="shared" si="7"/>
        <v>26.808292530117264</v>
      </c>
      <c r="AU6" s="32">
        <f t="shared" si="8"/>
        <v>0.55237731062062867</v>
      </c>
      <c r="AV6" s="131">
        <f t="shared" si="9"/>
        <v>0.44762268937937133</v>
      </c>
      <c r="AW6" s="28">
        <f t="shared" si="10"/>
        <v>33.679374410864</v>
      </c>
      <c r="AX6" s="258">
        <f t="shared" si="11"/>
        <v>1350</v>
      </c>
      <c r="AY6" s="80">
        <f>IF($B$29="d",Colony!J33,IF($B$29="n",Colony!J61,IF($B$29="p",Colony!J89,IF($B$29="a",Colony!J117,IF($B$29="b",Colony!J145,IF($B$29="c",Colony!J173,IF($B$29="r",Colony!J201,IF($B$29="s",Colony!J201,IF($B$29="f",Colony!J257,"error")))))))))</f>
        <v>0</v>
      </c>
      <c r="AZ6" s="106">
        <f t="shared" si="39"/>
        <v>0</v>
      </c>
      <c r="BA6" s="75">
        <f t="shared" si="40"/>
        <v>0</v>
      </c>
      <c r="BB6" s="102">
        <f t="shared" si="41"/>
        <v>0</v>
      </c>
      <c r="BC6" s="72">
        <f t="shared" si="12"/>
        <v>0</v>
      </c>
      <c r="BD6" s="73">
        <f t="shared" si="42"/>
        <v>0</v>
      </c>
      <c r="BE6" s="369">
        <f t="shared" si="43"/>
        <v>0</v>
      </c>
      <c r="BF6" s="370">
        <f t="shared" si="44"/>
        <v>0</v>
      </c>
      <c r="BG6" s="73">
        <f t="shared" si="13"/>
        <v>29.808292530117264</v>
      </c>
      <c r="BH6" s="368">
        <v>1</v>
      </c>
      <c r="BI6" s="84">
        <f t="shared" si="14"/>
        <v>4.2749999999999995</v>
      </c>
      <c r="BJ6" s="78">
        <f t="shared" si="45"/>
        <v>9.8493837450082944E-2</v>
      </c>
      <c r="BK6" s="103">
        <f t="shared" si="46"/>
        <v>0.44762268937937133</v>
      </c>
      <c r="BL6" s="71">
        <f t="shared" si="47"/>
        <v>1350</v>
      </c>
      <c r="BM6" s="71">
        <f t="shared" si="15"/>
        <v>33.679374410864</v>
      </c>
      <c r="BN6" s="74">
        <f t="shared" si="16"/>
        <v>2.4947684748788147E-2</v>
      </c>
      <c r="BO6" s="366">
        <f t="shared" si="48"/>
        <v>2.4639063053931154E-2</v>
      </c>
      <c r="BP6" s="368">
        <f t="shared" si="49"/>
        <v>1.0124846147586426</v>
      </c>
      <c r="BQ6" s="76">
        <f t="shared" si="17"/>
        <v>1</v>
      </c>
      <c r="BR6" s="74">
        <f t="shared" si="18"/>
        <v>26.808292530117264</v>
      </c>
      <c r="BS6" s="367">
        <v>1</v>
      </c>
      <c r="BT6" s="83">
        <f t="shared" si="50"/>
        <v>2.2586249999999999</v>
      </c>
      <c r="BU6" s="79">
        <f t="shared" si="19"/>
        <v>6.518049768398862E-2</v>
      </c>
      <c r="BV6" s="112">
        <f t="shared" si="20"/>
        <v>2.917626966839287E-2</v>
      </c>
      <c r="BW6" s="55">
        <f t="shared" si="21"/>
        <v>-5.0125418235442863E-3</v>
      </c>
      <c r="BX6" s="134">
        <f t="shared" si="22"/>
        <v>2.4163727844848583E-2</v>
      </c>
      <c r="BY6" s="134"/>
      <c r="BZ6" s="391">
        <f>IF(OR($B$29="n",$B$29="p"),0,CL5)</f>
        <v>75.240543453148987</v>
      </c>
      <c r="CA6" s="242">
        <f t="shared" si="23"/>
        <v>52.66838041720429</v>
      </c>
      <c r="CB6" s="242">
        <f>CA6*(1-DD5)</f>
        <v>52.66838041720429</v>
      </c>
      <c r="CC6" s="149">
        <f t="shared" si="51"/>
        <v>29.415176720966642</v>
      </c>
      <c r="CD6" s="17">
        <f t="shared" si="52"/>
        <v>104.65572017411563</v>
      </c>
      <c r="CE6" s="269">
        <f t="shared" si="53"/>
        <v>7.6816426714404429</v>
      </c>
      <c r="CF6" s="136">
        <f t="shared" si="24"/>
        <v>96.974077502675186</v>
      </c>
      <c r="CG6" s="246">
        <f>IF($B$33=0,0, IF($B$33=1,Colony!AF6,IF($B$33=2,Colony!AG6,IF($B$33=3,Colony!AH6,IF($B$33=4,Colony!AI6,IF($B$33="X",Colony!AK6,"error"))))))</f>
        <v>0</v>
      </c>
      <c r="CH6" s="138">
        <f t="shared" si="54"/>
        <v>-1.4999462435731881</v>
      </c>
      <c r="CI6" s="98">
        <f t="shared" ref="CI6:CI27" si="62">CG6+CH6</f>
        <v>-1.4999462435731881</v>
      </c>
      <c r="CJ6" s="268">
        <f t="shared" si="55"/>
        <v>95.474131259101995</v>
      </c>
      <c r="CK6" s="136">
        <f t="shared" si="25"/>
        <v>0</v>
      </c>
      <c r="CL6" s="95">
        <f t="shared" si="26"/>
        <v>95.474131259101995</v>
      </c>
      <c r="CM6" s="29">
        <f t="shared" si="56"/>
        <v>1.5660171392187484E-2</v>
      </c>
      <c r="CN6" s="274">
        <f t="shared" si="27"/>
        <v>40575</v>
      </c>
      <c r="CO6" s="89">
        <f t="shared" si="28"/>
        <v>41.561169042284988</v>
      </c>
      <c r="CP6" s="21">
        <f t="shared" si="29"/>
        <v>2.5975730651428119E-3</v>
      </c>
      <c r="CQ6" s="146">
        <f t="shared" si="30"/>
        <v>0.81823551551998575</v>
      </c>
      <c r="CR6" t="str">
        <f>IF(CR5=100,100,IF(BO4&gt;$AK$37,100,""))</f>
        <v/>
      </c>
      <c r="CS6" t="str">
        <f t="shared" ref="CS6:CS28" si="63">IF(CS5=100,100,IF(AN6&lt;100,IF(CP6&gt;$AK$38,100,""),""))</f>
        <v/>
      </c>
      <c r="CT6">
        <f t="shared" ref="CT6:CT27" si="64">SUM(CR6:CS6)</f>
        <v>0</v>
      </c>
      <c r="CU6" s="17">
        <f t="shared" si="57"/>
        <v>769.921875</v>
      </c>
      <c r="CV6" s="18">
        <f t="shared" si="58"/>
        <v>0</v>
      </c>
      <c r="CW6" s="267">
        <f t="shared" si="59"/>
        <v>769.921875</v>
      </c>
      <c r="CX6" s="267">
        <f t="shared" ref="CX6:CX28" si="65">CW6/$AK$36</f>
        <v>50.625</v>
      </c>
      <c r="CY6" s="104">
        <f t="shared" si="60"/>
        <v>0.75</v>
      </c>
      <c r="CZ6" s="266">
        <f t="shared" si="61"/>
        <v>1.4999462435731881</v>
      </c>
      <c r="DB6" s="17">
        <f t="shared" ref="DB6:DB28" si="66">CC6</f>
        <v>29.415176720966642</v>
      </c>
      <c r="DC6" s="164">
        <v>0</v>
      </c>
      <c r="DD6" s="37">
        <f>DD$59</f>
        <v>0</v>
      </c>
      <c r="DH6" s="2">
        <v>40575</v>
      </c>
      <c r="DI6" s="262">
        <v>42948</v>
      </c>
      <c r="DJ6" s="18"/>
      <c r="DK6" s="251"/>
      <c r="DM6" s="18"/>
      <c r="DN6" s="18"/>
      <c r="DO6" s="18"/>
      <c r="DP6" s="18"/>
      <c r="DQ6" s="18"/>
      <c r="DR6" s="18"/>
      <c r="DS6" s="18"/>
      <c r="DT6" s="18"/>
      <c r="DU6" s="18"/>
      <c r="DV6" s="18"/>
      <c r="DW6" s="18"/>
      <c r="DX6" s="18"/>
      <c r="DY6" s="18"/>
      <c r="DZ6" s="18"/>
      <c r="EA6" s="18"/>
      <c r="EB6" s="18"/>
      <c r="EC6" s="18"/>
      <c r="ED6" s="18"/>
      <c r="EE6" s="18"/>
    </row>
    <row r="7" spans="1:135" ht="12.75" customHeight="1" x14ac:dyDescent="0.2">
      <c r="A7" s="416"/>
      <c r="T7" s="125"/>
      <c r="U7" s="2">
        <f t="shared" si="0"/>
        <v>40589</v>
      </c>
      <c r="V7" s="59">
        <f t="shared" si="31"/>
        <v>954.74131259102001</v>
      </c>
      <c r="W7" s="310">
        <f t="shared" si="32"/>
        <v>1.1867266282893712E-2</v>
      </c>
      <c r="X7" s="235">
        <f t="shared" si="33"/>
        <v>0</v>
      </c>
      <c r="Y7" s="123">
        <f t="shared" si="34"/>
        <v>1.1620398473817879</v>
      </c>
      <c r="Z7" s="4">
        <f t="shared" si="1"/>
        <v>3.1943787695958958E-2</v>
      </c>
      <c r="AA7" s="3">
        <f t="shared" si="2"/>
        <v>0.54094459680424589</v>
      </c>
      <c r="AB7" s="428">
        <v>90</v>
      </c>
      <c r="AC7" s="430" t="s">
        <v>1</v>
      </c>
      <c r="AD7" s="430"/>
      <c r="AE7" s="430"/>
      <c r="AF7" s="430"/>
      <c r="AG7" s="430"/>
      <c r="AI7" s="437"/>
      <c r="AJ7" s="274">
        <f t="shared" si="35"/>
        <v>40589</v>
      </c>
      <c r="AK7" s="394">
        <f>IF($B$29="d",Colony!H34,IF($B$29="n",Colony!H62,IF($B$29="p",Colony!H90,IF($B$29="a",Colony!H118,IF($B$29="b",Colony!H146,IF($B$29="c",Colony!H174,IF($B$29="r",Colony!H202,IF($B$29="s",Colony!H230,IF($B$29="f",Colony!H258,"error")))))))))</f>
        <v>7</v>
      </c>
      <c r="AL7">
        <f t="shared" si="3"/>
        <v>14000</v>
      </c>
      <c r="AM7" s="81">
        <f>IF($B$29="d",Colony!F34,IF($B$29="n",Colony!F62,IF($B$29="p",Colony!F90,IF($B$29="a",Colony!F118,IF($B$29="b",Colony!F146,IF($B$29="c",Colony!F174,IF($B$29="r",Colony!F202,IF($B$29="s",Colony!F230,IF($B$29="f",Colony!F258,"error")))))))))</f>
        <v>0.5</v>
      </c>
      <c r="AN7" s="17">
        <f t="shared" si="4"/>
        <v>2250</v>
      </c>
      <c r="AO7" s="21">
        <f t="shared" si="5"/>
        <v>0.16071428571428573</v>
      </c>
      <c r="AP7">
        <f t="shared" si="36"/>
        <v>1350</v>
      </c>
      <c r="AQ7" s="18">
        <f t="shared" si="37"/>
        <v>43.124113389544597</v>
      </c>
      <c r="AR7" s="18">
        <f t="shared" si="6"/>
        <v>112.5</v>
      </c>
      <c r="AS7" s="142">
        <f t="shared" si="38"/>
        <v>14.14063556699465</v>
      </c>
      <c r="AT7" s="27">
        <f t="shared" si="7"/>
        <v>26.14063556699465</v>
      </c>
      <c r="AU7" s="32">
        <f t="shared" si="8"/>
        <v>0.54094459680424589</v>
      </c>
      <c r="AV7" s="131">
        <f t="shared" si="9"/>
        <v>0.45905540319575411</v>
      </c>
      <c r="AW7" s="28">
        <f t="shared" si="10"/>
        <v>43.827915819911418</v>
      </c>
      <c r="AX7" s="258">
        <f t="shared" si="11"/>
        <v>1350</v>
      </c>
      <c r="AY7" s="80">
        <f>IF($B$29="d",Colony!J34,IF($B$29="n",Colony!J62,IF($B$29="p",Colony!J90,IF($B$29="a",Colony!J118,IF($B$29="b",Colony!J146,IF($B$29="c",Colony!J174,IF($B$29="r",Colony!J202,IF($B$29="s",Colony!J202,IF($B$29="f",Colony!J258,"error")))))))))</f>
        <v>0</v>
      </c>
      <c r="AZ7" s="106">
        <f t="shared" si="39"/>
        <v>0</v>
      </c>
      <c r="BA7" s="75">
        <f t="shared" si="40"/>
        <v>0</v>
      </c>
      <c r="BB7" s="102">
        <f t="shared" si="41"/>
        <v>0</v>
      </c>
      <c r="BC7" s="72">
        <f t="shared" si="12"/>
        <v>0</v>
      </c>
      <c r="BD7" s="73">
        <f t="shared" si="42"/>
        <v>0</v>
      </c>
      <c r="BE7" s="369">
        <f t="shared" si="43"/>
        <v>0</v>
      </c>
      <c r="BF7" s="370">
        <f t="shared" si="44"/>
        <v>0</v>
      </c>
      <c r="BG7" s="73">
        <f t="shared" si="13"/>
        <v>29.14063556699465</v>
      </c>
      <c r="BH7" s="368">
        <v>1</v>
      </c>
      <c r="BI7" s="84">
        <f t="shared" si="14"/>
        <v>4.2749999999999995</v>
      </c>
      <c r="BJ7" s="78">
        <f t="shared" si="45"/>
        <v>9.8493837450082944E-2</v>
      </c>
      <c r="BK7" s="103">
        <f t="shared" si="46"/>
        <v>0.45905540319575411</v>
      </c>
      <c r="BL7" s="71">
        <f t="shared" si="47"/>
        <v>1350</v>
      </c>
      <c r="BM7" s="71">
        <f t="shared" si="15"/>
        <v>43.827915819911418</v>
      </c>
      <c r="BN7" s="74">
        <f t="shared" si="16"/>
        <v>3.2465122829564014E-2</v>
      </c>
      <c r="BO7" s="366">
        <f t="shared" si="48"/>
        <v>3.1943787695958958E-2</v>
      </c>
      <c r="BP7" s="368">
        <f t="shared" si="49"/>
        <v>1.0162885769834331</v>
      </c>
      <c r="BQ7" s="76">
        <f t="shared" si="17"/>
        <v>1</v>
      </c>
      <c r="BR7" s="74">
        <f t="shared" si="18"/>
        <v>26.14063556699465</v>
      </c>
      <c r="BS7" s="367">
        <v>1</v>
      </c>
      <c r="BT7" s="83">
        <f t="shared" si="50"/>
        <v>2.2586249999999999</v>
      </c>
      <c r="BU7" s="79">
        <f t="shared" si="19"/>
        <v>6.518049768398862E-2</v>
      </c>
      <c r="BV7" s="112">
        <f t="shared" si="20"/>
        <v>2.9921459644823314E-2</v>
      </c>
      <c r="BW7" s="55">
        <f t="shared" si="21"/>
        <v>-5.0125418235442863E-3</v>
      </c>
      <c r="BX7" s="134">
        <f t="shared" si="22"/>
        <v>2.4908917821279027E-2</v>
      </c>
      <c r="BY7" s="134"/>
      <c r="BZ7" s="391">
        <f>IF(OR($B$29="n",$B$29="p"),0,CL6)</f>
        <v>95.474131259101995</v>
      </c>
      <c r="CA7" s="242">
        <f t="shared" si="23"/>
        <v>66.831891881371391</v>
      </c>
      <c r="CB7" s="242">
        <f>CA7*(1-DD6)</f>
        <v>66.831891881371391</v>
      </c>
      <c r="CC7" s="149">
        <f t="shared" si="51"/>
        <v>38.512607078500636</v>
      </c>
      <c r="CD7" s="17">
        <f t="shared" si="52"/>
        <v>133.98673833760262</v>
      </c>
      <c r="CE7" s="269">
        <f t="shared" si="53"/>
        <v>9.8345149687844184</v>
      </c>
      <c r="CF7" s="136">
        <f t="shared" si="24"/>
        <v>124.1522233688182</v>
      </c>
      <c r="CG7" s="246">
        <f>IF($B$33=0,0, IF($B$33=1,Colony!AF7,IF($B$33=2,Colony!AG7,IF($B$33=3,Colony!AH7,IF($B$33=4,Colony!AI7,IF($B$33="X",Colony!AK7,"error"))))))</f>
        <v>0</v>
      </c>
      <c r="CH7" s="138">
        <f t="shared" si="54"/>
        <v>-9.7939035500128</v>
      </c>
      <c r="CI7" s="98">
        <f t="shared" si="62"/>
        <v>-9.7939035500128</v>
      </c>
      <c r="CJ7" s="268">
        <f t="shared" si="55"/>
        <v>114.3583198188054</v>
      </c>
      <c r="CK7" s="136">
        <f t="shared" si="25"/>
        <v>0</v>
      </c>
      <c r="CL7" s="95">
        <f t="shared" si="26"/>
        <v>114.3583198188054</v>
      </c>
      <c r="CM7" s="29">
        <f t="shared" si="56"/>
        <v>1.1867266282893712E-2</v>
      </c>
      <c r="CN7" s="274">
        <f t="shared" si="27"/>
        <v>40589</v>
      </c>
      <c r="CO7" s="89">
        <f t="shared" si="28"/>
        <v>51.646215439190577</v>
      </c>
      <c r="CP7" s="21">
        <f t="shared" si="29"/>
        <v>3.6890153885136127E-3</v>
      </c>
      <c r="CQ7" s="146">
        <f t="shared" si="30"/>
        <v>1.1620398473817879</v>
      </c>
      <c r="CR7" t="str">
        <f t="shared" ref="CR7:CR28" si="67">IF(CR6=100,100,IF(BO5&gt;$AK$37,100,""))</f>
        <v/>
      </c>
      <c r="CS7" t="str">
        <f t="shared" si="63"/>
        <v/>
      </c>
      <c r="CT7">
        <f t="shared" si="64"/>
        <v>0</v>
      </c>
      <c r="CU7" s="17">
        <f t="shared" si="57"/>
        <v>1539.84375</v>
      </c>
      <c r="CV7" s="18">
        <f t="shared" si="58"/>
        <v>-2000</v>
      </c>
      <c r="CW7" s="267">
        <f t="shared" si="59"/>
        <v>3539.84375</v>
      </c>
      <c r="CX7" s="267">
        <f t="shared" si="65"/>
        <v>232.75684931506848</v>
      </c>
      <c r="CY7" s="104">
        <f t="shared" si="60"/>
        <v>0.75</v>
      </c>
      <c r="CZ7" s="266">
        <f t="shared" si="61"/>
        <v>9.7939035500128</v>
      </c>
      <c r="DB7" s="17">
        <f t="shared" si="66"/>
        <v>38.512607078500636</v>
      </c>
      <c r="DC7" s="164">
        <v>0</v>
      </c>
      <c r="DD7" s="37">
        <f>DE$59</f>
        <v>0</v>
      </c>
      <c r="DH7" s="2">
        <v>40589</v>
      </c>
      <c r="DI7" s="262">
        <v>42962</v>
      </c>
      <c r="DJ7" s="18"/>
      <c r="DK7" s="251"/>
      <c r="DL7">
        <v>6.3</v>
      </c>
      <c r="DM7" s="18"/>
      <c r="DN7" s="18"/>
      <c r="DO7" s="18"/>
      <c r="DP7" s="18"/>
      <c r="DQ7" s="18"/>
      <c r="DR7" s="18"/>
      <c r="DS7" s="18"/>
      <c r="DT7" s="18"/>
      <c r="DU7" s="18"/>
      <c r="DV7" s="18"/>
      <c r="DW7" s="18"/>
      <c r="DX7" s="18"/>
      <c r="DY7" s="18"/>
      <c r="DZ7" s="18"/>
      <c r="EA7" s="18"/>
      <c r="EB7" s="18"/>
      <c r="EC7" s="18"/>
      <c r="ED7" s="18"/>
      <c r="EE7" s="18"/>
    </row>
    <row r="8" spans="1:135" x14ac:dyDescent="0.2">
      <c r="A8" s="416"/>
      <c r="T8" s="125"/>
      <c r="U8" s="2">
        <f t="shared" si="0"/>
        <v>40603</v>
      </c>
      <c r="V8" s="59">
        <f t="shared" si="31"/>
        <v>1143.583198188054</v>
      </c>
      <c r="W8" s="310">
        <f t="shared" si="32"/>
        <v>1.7972167473204209E-2</v>
      </c>
      <c r="X8" s="235">
        <f t="shared" si="33"/>
        <v>0</v>
      </c>
      <c r="Y8" s="123">
        <f t="shared" si="34"/>
        <v>1.211347400781877</v>
      </c>
      <c r="Z8" s="4">
        <f t="shared" si="1"/>
        <v>2.2165707482004748E-2</v>
      </c>
      <c r="AA8" s="3">
        <f t="shared" si="2"/>
        <v>0.47078045866951518</v>
      </c>
      <c r="AB8" s="429"/>
      <c r="AC8" s="430"/>
      <c r="AD8" s="430"/>
      <c r="AE8" s="430"/>
      <c r="AF8" s="430"/>
      <c r="AG8" s="430"/>
      <c r="AI8" s="437"/>
      <c r="AJ8" s="274">
        <f t="shared" si="35"/>
        <v>40603</v>
      </c>
      <c r="AK8" s="394">
        <f>IF($B$29="d",Colony!H35,IF($B$29="n",Colony!H63,IF($B$29="p",Colony!H91,IF($B$29="a",Colony!H119,IF($B$29="b",Colony!H147,IF($B$29="c",Colony!H175,IF($B$29="r",Colony!H203,IF($B$29="s",Colony!H231,IF($B$29="f",Colony!H259,"error")))))))))</f>
        <v>7</v>
      </c>
      <c r="AL8">
        <f t="shared" si="3"/>
        <v>14000</v>
      </c>
      <c r="AM8" s="81">
        <f>IF($B$29="d",Colony!F35,IF($B$29="n",Colony!F63,IF($B$29="p",Colony!F91,IF($B$29="a",Colony!F119,IF($B$29="b",Colony!F147,IF($B$29="c",Colony!F175,IF($B$29="r",Colony!F203,IF($B$29="s",Colony!F231,IF($B$29="f",Colony!F259,"error")))))))))</f>
        <v>1</v>
      </c>
      <c r="AN8" s="17">
        <f t="shared" si="4"/>
        <v>4500</v>
      </c>
      <c r="AO8" s="21">
        <f t="shared" si="5"/>
        <v>0.32142857142857145</v>
      </c>
      <c r="AP8">
        <f t="shared" si="36"/>
        <v>2700</v>
      </c>
      <c r="AQ8" s="18">
        <f t="shared" si="37"/>
        <v>59.847410201412821</v>
      </c>
      <c r="AR8" s="18">
        <f t="shared" si="6"/>
        <v>225</v>
      </c>
      <c r="AS8" s="142">
        <f t="shared" si="38"/>
        <v>10.674899664194921</v>
      </c>
      <c r="AT8" s="27">
        <f t="shared" si="7"/>
        <v>22.674899664194921</v>
      </c>
      <c r="AU8" s="32">
        <f t="shared" si="8"/>
        <v>0.47078045866951518</v>
      </c>
      <c r="AV8" s="131">
        <f t="shared" si="9"/>
        <v>0.52921954133048477</v>
      </c>
      <c r="AW8" s="28">
        <f t="shared" si="10"/>
        <v>60.520657561833076</v>
      </c>
      <c r="AX8" s="258">
        <f t="shared" si="11"/>
        <v>2700</v>
      </c>
      <c r="AY8" s="80">
        <f>IF($B$29="d",Colony!J35,IF($B$29="n",Colony!J63,IF($B$29="p",Colony!J91,IF($B$29="a",Colony!J119,IF($B$29="b",Colony!J147,IF($B$29="c",Colony!J175,IF($B$29="r",Colony!J203,IF($B$29="s",Colony!J203,IF($B$29="f",Colony!J259,"error")))))))))</f>
        <v>0</v>
      </c>
      <c r="AZ8" s="106">
        <f t="shared" si="39"/>
        <v>0</v>
      </c>
      <c r="BA8" s="75">
        <f t="shared" si="40"/>
        <v>0</v>
      </c>
      <c r="BB8" s="102">
        <f t="shared" si="41"/>
        <v>0</v>
      </c>
      <c r="BC8" s="72">
        <f t="shared" si="12"/>
        <v>0</v>
      </c>
      <c r="BD8" s="73">
        <f t="shared" si="42"/>
        <v>0</v>
      </c>
      <c r="BE8" s="369">
        <f t="shared" si="43"/>
        <v>0</v>
      </c>
      <c r="BF8" s="370">
        <f t="shared" si="44"/>
        <v>0</v>
      </c>
      <c r="BG8" s="73">
        <f t="shared" si="13"/>
        <v>25.674899664194921</v>
      </c>
      <c r="BH8" s="368">
        <v>1</v>
      </c>
      <c r="BI8" s="84">
        <f t="shared" si="14"/>
        <v>4.2749999999999995</v>
      </c>
      <c r="BJ8" s="78">
        <f t="shared" si="45"/>
        <v>9.8493837450082944E-2</v>
      </c>
      <c r="BK8" s="103">
        <f t="shared" si="46"/>
        <v>0.52921954133048477</v>
      </c>
      <c r="BL8" s="71">
        <f t="shared" si="47"/>
        <v>2700</v>
      </c>
      <c r="BM8" s="71">
        <f t="shared" si="15"/>
        <v>60.520657561833076</v>
      </c>
      <c r="BN8" s="74">
        <f t="shared" si="16"/>
        <v>2.2415058356234474E-2</v>
      </c>
      <c r="BO8" s="366">
        <f t="shared" si="48"/>
        <v>2.2165707482004748E-2</v>
      </c>
      <c r="BP8" s="368">
        <f t="shared" si="49"/>
        <v>1.0112037782079877</v>
      </c>
      <c r="BQ8" s="76">
        <f t="shared" si="17"/>
        <v>1</v>
      </c>
      <c r="BR8" s="74">
        <f t="shared" si="18"/>
        <v>22.674899664194921</v>
      </c>
      <c r="BS8" s="367">
        <v>1</v>
      </c>
      <c r="BT8" s="83">
        <f t="shared" si="50"/>
        <v>2.2586249999999999</v>
      </c>
      <c r="BU8" s="79">
        <f t="shared" si="19"/>
        <v>6.518049768398862E-2</v>
      </c>
      <c r="BV8" s="112">
        <f t="shared" si="20"/>
        <v>3.4494793088013183E-2</v>
      </c>
      <c r="BW8" s="55">
        <f t="shared" si="21"/>
        <v>-6.0180723255630212E-3</v>
      </c>
      <c r="BX8" s="134">
        <f t="shared" si="22"/>
        <v>2.8476720762450163E-2</v>
      </c>
      <c r="BY8" s="134"/>
      <c r="BZ8" s="391">
        <f>IF(OR($B$29="n",$B$29="p"),0,CL7)</f>
        <v>114.3583198188054</v>
      </c>
      <c r="CA8" s="242">
        <f t="shared" si="23"/>
        <v>80.050823873163779</v>
      </c>
      <c r="CB8" s="242">
        <f t="shared" ref="CB8:CB27" si="68">CA8*(1-DD7)</f>
        <v>80.050823873163779</v>
      </c>
      <c r="CC8" s="149">
        <f t="shared" si="51"/>
        <v>55.218805733408004</v>
      </c>
      <c r="CD8" s="17">
        <f t="shared" si="52"/>
        <v>169.5771255522134</v>
      </c>
      <c r="CE8" s="269">
        <f t="shared" si="53"/>
        <v>14.831446139383161</v>
      </c>
      <c r="CF8" s="136">
        <f t="shared" si="24"/>
        <v>154.74567941283024</v>
      </c>
      <c r="CG8" s="246">
        <f>IF($B$33=0,0, IF($B$33=1,Colony!AF8,IF($B$33=2,Colony!AG8,IF($B$33=3,Colony!AH8,IF($B$33=4,Colony!AI8,IF($B$33="X",Colony!AK8,"error"))))))</f>
        <v>0</v>
      </c>
      <c r="CH8" s="138">
        <f t="shared" si="54"/>
        <v>-4.4411564861255206</v>
      </c>
      <c r="CI8" s="98">
        <f t="shared" si="62"/>
        <v>-4.4411564861255206</v>
      </c>
      <c r="CJ8" s="268">
        <f t="shared" si="55"/>
        <v>150.30452292670472</v>
      </c>
      <c r="CK8" s="136">
        <f t="shared" si="25"/>
        <v>0</v>
      </c>
      <c r="CL8" s="95">
        <f t="shared" si="26"/>
        <v>150.30452292670472</v>
      </c>
      <c r="CM8" s="29">
        <f t="shared" si="56"/>
        <v>1.7972167473204209E-2</v>
      </c>
      <c r="CN8" s="274">
        <f t="shared" si="27"/>
        <v>40603</v>
      </c>
      <c r="CO8" s="89">
        <f t="shared" si="28"/>
        <v>53.837662256972315</v>
      </c>
      <c r="CP8" s="21">
        <f t="shared" si="29"/>
        <v>3.845547304069451E-3</v>
      </c>
      <c r="CQ8" s="146">
        <f t="shared" si="30"/>
        <v>1.211347400781877</v>
      </c>
      <c r="CR8" t="str">
        <f t="shared" si="67"/>
        <v/>
      </c>
      <c r="CS8" t="str">
        <f t="shared" si="63"/>
        <v/>
      </c>
      <c r="CT8">
        <f t="shared" si="64"/>
        <v>0</v>
      </c>
      <c r="CU8" s="17">
        <f t="shared" si="57"/>
        <v>1539.84375</v>
      </c>
      <c r="CV8" s="18">
        <f t="shared" si="58"/>
        <v>0</v>
      </c>
      <c r="CW8" s="267">
        <f t="shared" si="59"/>
        <v>1539.84375</v>
      </c>
      <c r="CX8" s="267">
        <f t="shared" si="65"/>
        <v>101.25</v>
      </c>
      <c r="CY8" s="104">
        <f t="shared" si="60"/>
        <v>0.75</v>
      </c>
      <c r="CZ8" s="266">
        <f t="shared" si="61"/>
        <v>4.4411564861255206</v>
      </c>
      <c r="DB8" s="17">
        <f t="shared" si="66"/>
        <v>55.218805733408004</v>
      </c>
      <c r="DC8" s="164">
        <v>0</v>
      </c>
      <c r="DD8" s="37">
        <f>DF$59</f>
        <v>0</v>
      </c>
      <c r="DH8" s="2">
        <v>40603</v>
      </c>
      <c r="DI8" s="262">
        <v>42979</v>
      </c>
      <c r="DK8" s="251"/>
    </row>
    <row r="9" spans="1:135" ht="12.75" customHeight="1" x14ac:dyDescent="0.2">
      <c r="A9" s="416"/>
      <c r="T9" s="125"/>
      <c r="U9" s="2">
        <f t="shared" si="0"/>
        <v>40617</v>
      </c>
      <c r="V9" s="59">
        <f t="shared" si="31"/>
        <v>1503.0452292670473</v>
      </c>
      <c r="W9" s="310">
        <f t="shared" si="32"/>
        <v>2.1205680119997867E-2</v>
      </c>
      <c r="X9" s="235">
        <f t="shared" si="33"/>
        <v>0</v>
      </c>
      <c r="Y9" s="123">
        <f t="shared" si="34"/>
        <v>1.3777059516486378</v>
      </c>
      <c r="Z9" s="4">
        <f t="shared" si="1"/>
        <v>1.7951816312165136E-2</v>
      </c>
      <c r="AA9" s="3">
        <f t="shared" si="2"/>
        <v>0.34918467675703302</v>
      </c>
      <c r="AB9" s="428">
        <v>90</v>
      </c>
      <c r="AC9" s="431" t="s">
        <v>329</v>
      </c>
      <c r="AD9" s="432"/>
      <c r="AE9" s="432"/>
      <c r="AF9" s="432"/>
      <c r="AG9" s="433"/>
      <c r="AI9" s="437"/>
      <c r="AJ9" s="274">
        <f t="shared" si="35"/>
        <v>40617</v>
      </c>
      <c r="AK9" s="394">
        <f>IF($B$29="d",Colony!H36,IF($B$29="n",Colony!H64,IF($B$29="p",Colony!H92,IF($B$29="a",Colony!H120,IF($B$29="b",Colony!H148,IF($B$29="c",Colony!H176,IF($B$29="r",Colony!H204,IF($B$29="s",Colony!H232,IF($B$29="f",Colony!H260,"error")))))))))</f>
        <v>6</v>
      </c>
      <c r="AL9">
        <f t="shared" si="3"/>
        <v>12000</v>
      </c>
      <c r="AM9" s="81">
        <f>IF($B$29="d",Colony!F36,IF($B$29="n",Colony!F64,IF($B$29="p",Colony!F92,IF($B$29="a",Colony!F120,IF($B$29="b",Colony!F148,IF($B$29="c",Colony!F176,IF($B$29="r",Colony!F204,IF($B$29="s",Colony!F232,IF($B$29="f",Colony!F260,"error")))))))))</f>
        <v>2</v>
      </c>
      <c r="AN9" s="17">
        <f t="shared" si="4"/>
        <v>9000</v>
      </c>
      <c r="AO9" s="21">
        <f t="shared" si="5"/>
        <v>0.75</v>
      </c>
      <c r="AP9">
        <f t="shared" si="36"/>
        <v>5400</v>
      </c>
      <c r="AQ9" s="18">
        <f t="shared" si="37"/>
        <v>96.939808085691737</v>
      </c>
      <c r="AR9" s="18">
        <f t="shared" si="6"/>
        <v>450</v>
      </c>
      <c r="AS9" s="142">
        <f t="shared" si="38"/>
        <v>6.4384103622589048</v>
      </c>
      <c r="AT9" s="27">
        <f t="shared" si="7"/>
        <v>18.438410362258907</v>
      </c>
      <c r="AU9" s="32">
        <f t="shared" si="8"/>
        <v>0.34918467675703302</v>
      </c>
      <c r="AV9" s="131">
        <f t="shared" si="9"/>
        <v>0.65081532324296698</v>
      </c>
      <c r="AW9" s="28">
        <f t="shared" si="10"/>
        <v>97.820486673423275</v>
      </c>
      <c r="AX9" s="258">
        <f t="shared" si="11"/>
        <v>5400</v>
      </c>
      <c r="AY9" s="80">
        <f>IF($B$29="d",Colony!J36,IF($B$29="n",Colony!J64,IF($B$29="p",Colony!J92,IF($B$29="a",Colony!J120,IF($B$29="b",Colony!J148,IF($B$29="c",Colony!J176,IF($B$29="r",Colony!J204,IF($B$29="s",Colony!J204,IF($B$29="f",Colony!J260,"error")))))))))</f>
        <v>0</v>
      </c>
      <c r="AZ9" s="106">
        <f t="shared" si="39"/>
        <v>0</v>
      </c>
      <c r="BA9" s="75">
        <f t="shared" si="40"/>
        <v>0</v>
      </c>
      <c r="BB9" s="102">
        <f t="shared" si="41"/>
        <v>0</v>
      </c>
      <c r="BC9" s="72">
        <f t="shared" si="12"/>
        <v>0</v>
      </c>
      <c r="BD9" s="73">
        <f t="shared" si="42"/>
        <v>0</v>
      </c>
      <c r="BE9" s="369">
        <f t="shared" si="43"/>
        <v>0</v>
      </c>
      <c r="BF9" s="370">
        <f t="shared" si="44"/>
        <v>0</v>
      </c>
      <c r="BG9" s="73">
        <f t="shared" si="13"/>
        <v>21.438410362258907</v>
      </c>
      <c r="BH9" s="368">
        <v>1</v>
      </c>
      <c r="BI9" s="84">
        <f t="shared" si="14"/>
        <v>4.2749999999999995</v>
      </c>
      <c r="BJ9" s="78">
        <f t="shared" si="45"/>
        <v>9.8493837450082944E-2</v>
      </c>
      <c r="BK9" s="103">
        <f t="shared" si="46"/>
        <v>0.65081532324296698</v>
      </c>
      <c r="BL9" s="71">
        <f t="shared" si="47"/>
        <v>5400</v>
      </c>
      <c r="BM9" s="71">
        <f t="shared" si="15"/>
        <v>97.820486673423275</v>
      </c>
      <c r="BN9" s="74">
        <f t="shared" si="16"/>
        <v>1.8114904939522829E-2</v>
      </c>
      <c r="BO9" s="366">
        <f t="shared" si="48"/>
        <v>1.7951816312165136E-2</v>
      </c>
      <c r="BP9" s="368">
        <f t="shared" si="49"/>
        <v>1.0090285905308269</v>
      </c>
      <c r="BQ9" s="76">
        <f t="shared" si="17"/>
        <v>1</v>
      </c>
      <c r="BR9" s="74">
        <f t="shared" si="18"/>
        <v>18.438410362258907</v>
      </c>
      <c r="BS9" s="367">
        <v>1</v>
      </c>
      <c r="BT9" s="83">
        <f t="shared" si="50"/>
        <v>2.2586249999999999</v>
      </c>
      <c r="BU9" s="79">
        <f t="shared" si="19"/>
        <v>6.518049768398862E-2</v>
      </c>
      <c r="BV9" s="112">
        <f t="shared" si="20"/>
        <v>4.2420466669342516E-2</v>
      </c>
      <c r="BW9" s="55">
        <f t="shared" si="21"/>
        <v>-6.0180723255630212E-3</v>
      </c>
      <c r="BX9" s="134">
        <f t="shared" si="22"/>
        <v>3.6402394343779496E-2</v>
      </c>
      <c r="BY9" s="134"/>
      <c r="BZ9" s="391">
        <f>IF(OR($B$29="n",$B$29="p"),0,CL8)</f>
        <v>150.30452292670472</v>
      </c>
      <c r="CA9" s="242">
        <f t="shared" si="23"/>
        <v>105.2131660486933</v>
      </c>
      <c r="CB9" s="242">
        <f t="shared" si="68"/>
        <v>105.2131660486933</v>
      </c>
      <c r="CC9" s="149">
        <f t="shared" si="51"/>
        <v>95.350762647247365</v>
      </c>
      <c r="CD9" s="17">
        <f t="shared" si="52"/>
        <v>245.65528557395209</v>
      </c>
      <c r="CE9" s="269">
        <f t="shared" si="53"/>
        <v>21.485345532189939</v>
      </c>
      <c r="CF9" s="136">
        <f t="shared" si="24"/>
        <v>224.16994004176215</v>
      </c>
      <c r="CG9" s="246">
        <f>IF($B$33=0,0, IF($B$33=1,Colony!AF9,IF($B$33=2,Colony!AG9,IF($B$33=3,Colony!AH9,IF($B$33=4,Colony!AI9,IF($B$33="X",Colony!AK9,"error"))))))</f>
        <v>0</v>
      </c>
      <c r="CH9" s="138">
        <f t="shared" si="54"/>
        <v>-16.662656431583788</v>
      </c>
      <c r="CI9" s="98">
        <f t="shared" si="62"/>
        <v>-16.662656431583788</v>
      </c>
      <c r="CJ9" s="268">
        <f t="shared" si="55"/>
        <v>207.50728361017835</v>
      </c>
      <c r="CK9" s="136">
        <f t="shared" si="25"/>
        <v>0</v>
      </c>
      <c r="CL9" s="95">
        <f t="shared" si="26"/>
        <v>207.50728361017835</v>
      </c>
      <c r="CM9" s="29">
        <f t="shared" si="56"/>
        <v>2.1205680119997867E-2</v>
      </c>
      <c r="CN9" s="274">
        <f t="shared" si="27"/>
        <v>40617</v>
      </c>
      <c r="CO9" s="89">
        <f t="shared" si="28"/>
        <v>52.484036253281445</v>
      </c>
      <c r="CP9" s="21">
        <f t="shared" si="29"/>
        <v>4.3736696877734538E-3</v>
      </c>
      <c r="CQ9" s="146">
        <f t="shared" si="30"/>
        <v>1.3777059516486378</v>
      </c>
      <c r="CR9" t="str">
        <f t="shared" si="67"/>
        <v/>
      </c>
      <c r="CS9" t="str">
        <f t="shared" si="63"/>
        <v/>
      </c>
      <c r="CT9">
        <f t="shared" si="64"/>
        <v>0</v>
      </c>
      <c r="CU9" s="17">
        <f t="shared" si="57"/>
        <v>3079.6875</v>
      </c>
      <c r="CV9" s="18">
        <f t="shared" si="58"/>
        <v>-2000</v>
      </c>
      <c r="CW9" s="267">
        <f t="shared" si="59"/>
        <v>5079.6875</v>
      </c>
      <c r="CX9" s="267">
        <f t="shared" si="65"/>
        <v>334.00684931506851</v>
      </c>
      <c r="CY9" s="104">
        <f t="shared" si="60"/>
        <v>0.75</v>
      </c>
      <c r="CZ9" s="266">
        <f t="shared" si="61"/>
        <v>16.662656431583788</v>
      </c>
      <c r="DB9" s="17">
        <f t="shared" si="66"/>
        <v>95.350762647247365</v>
      </c>
      <c r="DC9" s="165">
        <f>DH$57</f>
        <v>47.757336023158011</v>
      </c>
      <c r="DD9" s="37">
        <f>DG$59</f>
        <v>0</v>
      </c>
      <c r="DH9" s="2">
        <v>40617</v>
      </c>
      <c r="DI9" s="262">
        <v>42993</v>
      </c>
      <c r="DK9" s="251"/>
      <c r="DL9">
        <v>10.08</v>
      </c>
    </row>
    <row r="10" spans="1:135" x14ac:dyDescent="0.2">
      <c r="A10" s="416"/>
      <c r="T10" s="125"/>
      <c r="U10" s="2">
        <f t="shared" si="0"/>
        <v>40634</v>
      </c>
      <c r="V10" s="59">
        <f t="shared" si="31"/>
        <v>2075.0728361017837</v>
      </c>
      <c r="W10" s="310">
        <f t="shared" si="32"/>
        <v>2.8251226255316095E-2</v>
      </c>
      <c r="X10" s="235">
        <f t="shared" si="33"/>
        <v>0</v>
      </c>
      <c r="Y10" s="123">
        <f t="shared" si="34"/>
        <v>1.4641001052431184</v>
      </c>
      <c r="Z10" s="4">
        <f t="shared" si="1"/>
        <v>1.7117348182197567E-2</v>
      </c>
      <c r="AA10" s="3">
        <f t="shared" si="2"/>
        <v>0.26878691260437249</v>
      </c>
      <c r="AB10" s="429"/>
      <c r="AC10" s="434"/>
      <c r="AD10" s="435"/>
      <c r="AE10" s="435"/>
      <c r="AF10" s="435"/>
      <c r="AG10" s="436"/>
      <c r="AI10" s="437"/>
      <c r="AJ10" s="274">
        <f t="shared" si="35"/>
        <v>40634</v>
      </c>
      <c r="AK10" s="394">
        <f>IF($B$29="d",Colony!H37,IF($B$29="n",Colony!H65,IF($B$29="p",Colony!H93,IF($B$29="a",Colony!H121,IF($B$29="b",Colony!H149,IF($B$29="c",Colony!H177,IF($B$29="r",Colony!H205,IF($B$29="s",Colony!H233,IF($B$29="f",Colony!H261,"error")))))))))</f>
        <v>6</v>
      </c>
      <c r="AL10">
        <f t="shared" si="3"/>
        <v>12000</v>
      </c>
      <c r="AM10" s="81">
        <f>IF($B$29="d",Colony!F37,IF($B$29="n",Colony!F65,IF($B$29="p",Colony!F93,IF($B$29="a",Colony!F121,IF($B$29="b",Colony!F149,IF($B$29="c",Colony!F177,IF($B$29="r",Colony!F205,IF($B$29="s",Colony!F233,IF($B$29="f",Colony!F261,"error")))))))))</f>
        <v>3</v>
      </c>
      <c r="AN10" s="17">
        <f t="shared" si="4"/>
        <v>13500</v>
      </c>
      <c r="AO10" s="21">
        <f t="shared" si="5"/>
        <v>1.125</v>
      </c>
      <c r="AP10">
        <f t="shared" si="36"/>
        <v>8100</v>
      </c>
      <c r="AQ10" s="18">
        <f t="shared" si="37"/>
        <v>138.65052027580029</v>
      </c>
      <c r="AR10" s="18">
        <f t="shared" si="6"/>
        <v>675</v>
      </c>
      <c r="AS10" s="142">
        <f t="shared" si="38"/>
        <v>4.4110848217180827</v>
      </c>
      <c r="AT10" s="27">
        <f t="shared" si="7"/>
        <v>16.411084821718084</v>
      </c>
      <c r="AU10" s="32">
        <f t="shared" si="8"/>
        <v>0.26878691260437249</v>
      </c>
      <c r="AV10" s="131">
        <f t="shared" si="9"/>
        <v>0.73121308739562751</v>
      </c>
      <c r="AW10" s="28">
        <f t="shared" si="10"/>
        <v>151.73204150567861</v>
      </c>
      <c r="AX10" s="258">
        <f t="shared" si="11"/>
        <v>8100</v>
      </c>
      <c r="AY10" s="80">
        <f>IF($B$29="d",Colony!J37,IF($B$29="n",Colony!J65,IF($B$29="p",Colony!J93,IF($B$29="a",Colony!J121,IF($B$29="b",Colony!J149,IF($B$29="c",Colony!J177,IF($B$29="r",Colony!J205,IF($B$29="s",Colony!J205,IF($B$29="f",Colony!J261,"error")))))))))</f>
        <v>0.03</v>
      </c>
      <c r="AZ10" s="106">
        <f t="shared" si="39"/>
        <v>1.9199999999999998E-2</v>
      </c>
      <c r="BA10" s="75">
        <f t="shared" si="40"/>
        <v>9.5999999999999988E-2</v>
      </c>
      <c r="BB10" s="102">
        <f t="shared" si="41"/>
        <v>7.0196456389980233E-2</v>
      </c>
      <c r="BC10" s="72">
        <f t="shared" si="12"/>
        <v>14.566275984545145</v>
      </c>
      <c r="BD10" s="73">
        <f t="shared" si="42"/>
        <v>9.3661754015851001E-2</v>
      </c>
      <c r="BE10" s="369">
        <f t="shared" si="43"/>
        <v>8.9409286191710624E-2</v>
      </c>
      <c r="BF10" s="370">
        <f t="shared" si="44"/>
        <v>1.0475618138257168</v>
      </c>
      <c r="BG10" s="73">
        <f t="shared" si="13"/>
        <v>19.411084821718084</v>
      </c>
      <c r="BH10" s="368">
        <v>1</v>
      </c>
      <c r="BI10" s="84">
        <f t="shared" si="14"/>
        <v>4.2749999999999995</v>
      </c>
      <c r="BJ10" s="78">
        <f t="shared" si="45"/>
        <v>9.8493837450082944E-2</v>
      </c>
      <c r="BK10" s="103">
        <f t="shared" si="46"/>
        <v>0.66101663100564734</v>
      </c>
      <c r="BL10" s="71">
        <f t="shared" si="47"/>
        <v>7944.4800000000005</v>
      </c>
      <c r="BM10" s="71">
        <f t="shared" si="15"/>
        <v>137.16576552113347</v>
      </c>
      <c r="BN10" s="74">
        <f t="shared" si="16"/>
        <v>1.726554356246519E-2</v>
      </c>
      <c r="BO10" s="366">
        <f t="shared" si="48"/>
        <v>1.7117348182197567E-2</v>
      </c>
      <c r="BP10" s="368">
        <f t="shared" si="49"/>
        <v>1.008598690638896</v>
      </c>
      <c r="BQ10" s="76">
        <f t="shared" si="17"/>
        <v>0.90400000000000003</v>
      </c>
      <c r="BR10" s="74">
        <f t="shared" si="18"/>
        <v>16.411084821718084</v>
      </c>
      <c r="BS10" s="367">
        <v>1</v>
      </c>
      <c r="BT10" s="83">
        <f t="shared" si="50"/>
        <v>2.2586249999999999</v>
      </c>
      <c r="BU10" s="79">
        <f t="shared" si="19"/>
        <v>6.518049768398862E-2</v>
      </c>
      <c r="BV10" s="112">
        <f t="shared" si="20"/>
        <v>4.9999311351588104E-2</v>
      </c>
      <c r="BW10" s="55">
        <f t="shared" si="21"/>
        <v>-6.0180723255630212E-3</v>
      </c>
      <c r="BX10" s="134">
        <f t="shared" si="22"/>
        <v>4.3981239026025083E-2</v>
      </c>
      <c r="BY10" s="134"/>
      <c r="BZ10" s="392">
        <f>IF(OR($B$29="n",$B$29="p"),B31,CL9)</f>
        <v>207.50728361017835</v>
      </c>
      <c r="CA10" s="242">
        <f t="shared" si="23"/>
        <v>145.25509852712483</v>
      </c>
      <c r="CB10" s="392">
        <f>IF(OR($B$29="n",$B$29="p"),(CA10*(1-0.5)),(CA10*(1-DD9)))</f>
        <v>145.25509852712483</v>
      </c>
      <c r="CC10" s="149">
        <f t="shared" si="51"/>
        <v>165.46661205981476</v>
      </c>
      <c r="CD10" s="17">
        <f t="shared" si="52"/>
        <v>372.97389566999311</v>
      </c>
      <c r="CE10" s="269">
        <f t="shared" si="53"/>
        <v>32.62080440986233</v>
      </c>
      <c r="CF10" s="136">
        <f t="shared" si="24"/>
        <v>340.35309126013078</v>
      </c>
      <c r="CG10" s="246">
        <f>IF($B$33=0,0, IF($B$33=1,Colony!AF10,IF($B$33=2,Colony!AG10,IF($B$33=3,Colony!AH10,IF($B$33=4,Colony!AI10,IF($B$33="X",Colony!AK10,"error"))))))</f>
        <v>0</v>
      </c>
      <c r="CH10" s="138">
        <f t="shared" si="54"/>
        <v>-21.471289489837694</v>
      </c>
      <c r="CI10" s="98">
        <f t="shared" si="62"/>
        <v>-21.471289489837694</v>
      </c>
      <c r="CJ10" s="268">
        <f t="shared" si="55"/>
        <v>318.88180177029307</v>
      </c>
      <c r="CK10" s="136">
        <f t="shared" si="25"/>
        <v>0</v>
      </c>
      <c r="CL10" s="95">
        <f t="shared" si="26"/>
        <v>318.88180177029307</v>
      </c>
      <c r="CM10" s="29">
        <f t="shared" si="56"/>
        <v>2.8251226255316095E-2</v>
      </c>
      <c r="CN10" s="274">
        <f t="shared" si="27"/>
        <v>40634</v>
      </c>
      <c r="CO10" s="89">
        <f t="shared" si="28"/>
        <v>55.775242104499746</v>
      </c>
      <c r="CP10" s="21">
        <f t="shared" si="29"/>
        <v>4.6479368420416457E-3</v>
      </c>
      <c r="CQ10" s="146">
        <f t="shared" si="30"/>
        <v>1.4641001052431184</v>
      </c>
      <c r="CR10" t="str">
        <f t="shared" si="67"/>
        <v/>
      </c>
      <c r="CS10" t="str">
        <f t="shared" si="63"/>
        <v/>
      </c>
      <c r="CT10">
        <f t="shared" si="64"/>
        <v>0</v>
      </c>
      <c r="CU10" s="17">
        <f t="shared" si="57"/>
        <v>6159.375</v>
      </c>
      <c r="CV10" s="18">
        <f t="shared" si="58"/>
        <v>0</v>
      </c>
      <c r="CW10" s="267">
        <f t="shared" si="59"/>
        <v>6159.375</v>
      </c>
      <c r="CX10" s="267">
        <f t="shared" si="65"/>
        <v>405</v>
      </c>
      <c r="CY10" s="104">
        <f t="shared" si="60"/>
        <v>0.75</v>
      </c>
      <c r="CZ10" s="266">
        <f t="shared" si="61"/>
        <v>21.471289489837694</v>
      </c>
      <c r="DB10" s="17">
        <f t="shared" si="66"/>
        <v>165.46661205981476</v>
      </c>
      <c r="DC10" s="165">
        <f>DI$57</f>
        <v>51.08968349008947</v>
      </c>
      <c r="DD10" s="393">
        <f>IF(OR($B$29="n",$B$29="p"),0.15,DH59)</f>
        <v>0.18632854888178477</v>
      </c>
      <c r="DH10" s="2">
        <v>40634</v>
      </c>
      <c r="DI10" s="262">
        <v>43009</v>
      </c>
      <c r="DK10" s="251"/>
    </row>
    <row r="11" spans="1:135" ht="12.75" customHeight="1" x14ac:dyDescent="0.2">
      <c r="A11" s="416"/>
      <c r="T11" s="125"/>
      <c r="U11" s="2">
        <f t="shared" si="0"/>
        <v>40648</v>
      </c>
      <c r="V11" s="59">
        <f t="shared" si="31"/>
        <v>3188.8180177029308</v>
      </c>
      <c r="W11" s="310">
        <f t="shared" si="32"/>
        <v>2.9274580461639447E-2</v>
      </c>
      <c r="X11" s="235">
        <f t="shared" si="33"/>
        <v>0</v>
      </c>
      <c r="Y11" s="123">
        <f t="shared" si="34"/>
        <v>1.3525838558137002</v>
      </c>
      <c r="Z11" s="4">
        <f t="shared" si="1"/>
        <v>1.5451023933165109E-2</v>
      </c>
      <c r="AA11" s="3">
        <f t="shared" si="2"/>
        <v>0.21544870751458203</v>
      </c>
      <c r="AB11" s="428">
        <v>50</v>
      </c>
      <c r="AC11" s="430" t="s">
        <v>330</v>
      </c>
      <c r="AD11" s="430"/>
      <c r="AE11" s="430"/>
      <c r="AF11" s="430"/>
      <c r="AG11" s="430"/>
      <c r="AI11" s="437"/>
      <c r="AJ11" s="274">
        <f t="shared" si="35"/>
        <v>40648</v>
      </c>
      <c r="AK11" s="394">
        <f>IF($B$29="d",Colony!H38,IF($B$29="n",Colony!H66,IF($B$29="p",Colony!H94,IF($B$29="a",Colony!H122,IF($B$29="b",Colony!H150,IF($B$29="c",Colony!H178,IF($B$29="r",Colony!H206,IF($B$29="s",Colony!H234,IF($B$29="f",Colony!H262,"error")))))))))</f>
        <v>8</v>
      </c>
      <c r="AL11">
        <f t="shared" si="3"/>
        <v>16000</v>
      </c>
      <c r="AM11" s="81">
        <f>IF($B$29="d",Colony!F38,IF($B$29="n",Colony!F66,IF($B$29="p",Colony!F94,IF($B$29="a",Colony!F122,IF($B$29="b",Colony!F150,IF($B$29="c",Colony!F178,IF($B$29="r",Colony!F206,IF($B$29="s",Colony!F234,IF($B$29="f",Colony!F262,"error")))))))))</f>
        <v>5</v>
      </c>
      <c r="AN11" s="17">
        <f t="shared" si="4"/>
        <v>22500</v>
      </c>
      <c r="AO11" s="21">
        <f t="shared" si="5"/>
        <v>1.40625</v>
      </c>
      <c r="AP11">
        <f t="shared" si="36"/>
        <v>13500</v>
      </c>
      <c r="AQ11" s="18">
        <f t="shared" si="37"/>
        <v>208.58882309772898</v>
      </c>
      <c r="AR11" s="18">
        <f t="shared" si="6"/>
        <v>1125</v>
      </c>
      <c r="AS11" s="142">
        <f t="shared" si="38"/>
        <v>3.2953670651470341</v>
      </c>
      <c r="AT11" s="27">
        <f t="shared" si="7"/>
        <v>15.295367065147033</v>
      </c>
      <c r="AU11" s="32">
        <f t="shared" si="8"/>
        <v>0.21544870751458203</v>
      </c>
      <c r="AV11" s="131">
        <f t="shared" si="9"/>
        <v>0.78455129248541799</v>
      </c>
      <c r="AW11" s="28">
        <f t="shared" si="10"/>
        <v>250.17912972896227</v>
      </c>
      <c r="AX11" s="258">
        <f t="shared" si="11"/>
        <v>13500</v>
      </c>
      <c r="AY11" s="80">
        <f>IF($B$29="d",Colony!J38,IF($B$29="n",Colony!J66,IF($B$29="p",Colony!J94,IF($B$29="a",Colony!J122,IF($B$29="b",Colony!J150,IF($B$29="c",Colony!J178,IF($B$29="r",Colony!J206,IF($B$29="s",Colony!J206,IF($B$29="f",Colony!J262,"error")))))))))</f>
        <v>0.06</v>
      </c>
      <c r="AZ11" s="106">
        <f t="shared" si="39"/>
        <v>3.8399999999999997E-2</v>
      </c>
      <c r="BA11" s="75">
        <f t="shared" si="40"/>
        <v>0.19199999999999998</v>
      </c>
      <c r="BB11" s="102">
        <f t="shared" si="41"/>
        <v>0.15063384815720024</v>
      </c>
      <c r="BC11" s="72">
        <f t="shared" si="12"/>
        <v>48.034392907960751</v>
      </c>
      <c r="BD11" s="73">
        <f t="shared" si="42"/>
        <v>9.2658936936652683E-2</v>
      </c>
      <c r="BE11" s="369">
        <f t="shared" si="43"/>
        <v>8.8495672254478297E-2</v>
      </c>
      <c r="BF11" s="370">
        <f t="shared" si="44"/>
        <v>1.047044839325052</v>
      </c>
      <c r="BG11" s="73">
        <f t="shared" si="13"/>
        <v>18.295367065147033</v>
      </c>
      <c r="BH11" s="368">
        <v>1</v>
      </c>
      <c r="BI11" s="84">
        <f t="shared" si="14"/>
        <v>4.2749999999999995</v>
      </c>
      <c r="BJ11" s="78">
        <f t="shared" si="45"/>
        <v>9.8493837450082944E-2</v>
      </c>
      <c r="BK11" s="103">
        <f t="shared" si="46"/>
        <v>0.63391744432821773</v>
      </c>
      <c r="BL11" s="71">
        <f t="shared" si="47"/>
        <v>12981.6</v>
      </c>
      <c r="BM11" s="71">
        <f t="shared" si="15"/>
        <v>202.14473682100152</v>
      </c>
      <c r="BN11" s="74">
        <f t="shared" si="16"/>
        <v>1.5571634992682066E-2</v>
      </c>
      <c r="BO11" s="366">
        <f t="shared" si="48"/>
        <v>1.5451023933165109E-2</v>
      </c>
      <c r="BP11" s="368">
        <f t="shared" si="49"/>
        <v>1.0077408021133227</v>
      </c>
      <c r="BQ11" s="76">
        <f t="shared" si="17"/>
        <v>0.80800000000000005</v>
      </c>
      <c r="BR11" s="74">
        <f t="shared" si="18"/>
        <v>15.295367065147033</v>
      </c>
      <c r="BS11" s="367">
        <v>1</v>
      </c>
      <c r="BT11" s="83">
        <f t="shared" si="50"/>
        <v>2.2586249999999999</v>
      </c>
      <c r="BU11" s="79">
        <f t="shared" si="19"/>
        <v>6.518049768398862E-2</v>
      </c>
      <c r="BV11" s="112">
        <f t="shared" si="20"/>
        <v>5.6155560266751142E-2</v>
      </c>
      <c r="BW11" s="55">
        <f t="shared" si="21"/>
        <v>-6.0180723255630212E-3</v>
      </c>
      <c r="BX11" s="134">
        <f t="shared" si="22"/>
        <v>5.0137487941188122E-2</v>
      </c>
      <c r="BY11" s="134"/>
      <c r="BZ11" s="391">
        <f>CL10</f>
        <v>318.88180177029307</v>
      </c>
      <c r="CA11" s="242">
        <f t="shared" si="23"/>
        <v>223.21726123920513</v>
      </c>
      <c r="CB11" s="392">
        <f>IF(OR($B$29="n",$B$29="p"),(CA11*(1-0.25)),(CA11*(1-DD10)))</f>
        <v>181.62551286713779</v>
      </c>
      <c r="CC11" s="149">
        <f t="shared" si="51"/>
        <v>245.03106601148249</v>
      </c>
      <c r="CD11" s="17">
        <f t="shared" si="52"/>
        <v>563.9128677817755</v>
      </c>
      <c r="CE11" s="269">
        <f t="shared" si="53"/>
        <v>49.3205867157792</v>
      </c>
      <c r="CF11" s="136">
        <f t="shared" si="24"/>
        <v>514.5922810659963</v>
      </c>
      <c r="CG11" s="246">
        <f>IF($B$33=0,0, IF($B$33=1,Colony!AF11,IF($B$33=2,Colony!AG11,IF($B$33=3,Colony!AH11,IF($B$33=4,Colony!AI11,IF($B$33="X",Colony!AK11,"error"))))))</f>
        <v>0</v>
      </c>
      <c r="CH11" s="138">
        <f t="shared" si="54"/>
        <v>-16.872074659759438</v>
      </c>
      <c r="CI11" s="98">
        <f t="shared" si="62"/>
        <v>-16.872074659759438</v>
      </c>
      <c r="CJ11" s="268">
        <f t="shared" si="55"/>
        <v>497.72020640623685</v>
      </c>
      <c r="CK11" s="136">
        <f t="shared" si="25"/>
        <v>0</v>
      </c>
      <c r="CL11" s="95">
        <f t="shared" si="26"/>
        <v>497.72020640623685</v>
      </c>
      <c r="CM11" s="29">
        <f t="shared" si="56"/>
        <v>2.9274580461639447E-2</v>
      </c>
      <c r="CN11" s="274">
        <f t="shared" si="27"/>
        <v>40648</v>
      </c>
      <c r="CO11" s="89">
        <f t="shared" si="28"/>
        <v>68.7026720413308</v>
      </c>
      <c r="CP11" s="21">
        <f t="shared" si="29"/>
        <v>4.2939170025831754E-3</v>
      </c>
      <c r="CQ11" s="146">
        <f t="shared" si="30"/>
        <v>1.3525838558137002</v>
      </c>
      <c r="CR11" t="str">
        <f t="shared" si="67"/>
        <v/>
      </c>
      <c r="CS11" t="str">
        <f t="shared" si="63"/>
        <v/>
      </c>
      <c r="CT11">
        <f t="shared" si="64"/>
        <v>0</v>
      </c>
      <c r="CU11" s="17">
        <f t="shared" si="57"/>
        <v>9239.0625</v>
      </c>
      <c r="CV11" s="18">
        <f t="shared" si="58"/>
        <v>4000</v>
      </c>
      <c r="CW11" s="267">
        <f t="shared" si="59"/>
        <v>5239.0625</v>
      </c>
      <c r="CX11" s="267">
        <f t="shared" si="65"/>
        <v>344.48630136986299</v>
      </c>
      <c r="CY11" s="104">
        <f t="shared" si="60"/>
        <v>0.75</v>
      </c>
      <c r="CZ11" s="266">
        <f t="shared" si="61"/>
        <v>16.872074659759438</v>
      </c>
      <c r="DB11" s="17">
        <f t="shared" si="66"/>
        <v>245.03106601148249</v>
      </c>
      <c r="DC11" s="165">
        <f>DJ$57</f>
        <v>65.410338801917959</v>
      </c>
      <c r="DD11" s="37">
        <f>DI$59</f>
        <v>0.12783600098573283</v>
      </c>
      <c r="DH11" s="2">
        <v>40648</v>
      </c>
      <c r="DI11" s="262">
        <v>43023</v>
      </c>
      <c r="DK11" s="251">
        <v>0.62</v>
      </c>
      <c r="DL11">
        <v>7.875</v>
      </c>
    </row>
    <row r="12" spans="1:135" x14ac:dyDescent="0.2">
      <c r="A12" s="416"/>
      <c r="T12" s="125"/>
      <c r="U12" s="2">
        <f t="shared" si="0"/>
        <v>40664</v>
      </c>
      <c r="V12" s="59">
        <f t="shared" si="31"/>
        <v>4977.2020640623687</v>
      </c>
      <c r="W12" s="310">
        <f t="shared" si="32"/>
        <v>2.8290496479409323E-2</v>
      </c>
      <c r="X12" s="235">
        <f t="shared" si="33"/>
        <v>0</v>
      </c>
      <c r="Y12" s="123">
        <f t="shared" si="34"/>
        <v>1.7735921644532779</v>
      </c>
      <c r="Z12" s="4">
        <f t="shared" si="1"/>
        <v>1.9204177292873936E-2</v>
      </c>
      <c r="AA12" s="3">
        <f t="shared" si="2"/>
        <v>0.24887462343620659</v>
      </c>
      <c r="AB12" s="429"/>
      <c r="AC12" s="430"/>
      <c r="AD12" s="430"/>
      <c r="AE12" s="430"/>
      <c r="AF12" s="430"/>
      <c r="AG12" s="430"/>
      <c r="AI12" s="437"/>
      <c r="AJ12" s="274">
        <f t="shared" si="35"/>
        <v>40664</v>
      </c>
      <c r="AK12" s="394">
        <f>IF($B$29="d",Colony!H39,IF($B$29="n",Colony!H67,IF($B$29="p",Colony!H95,IF($B$29="a",Colony!H123,IF($B$29="b",Colony!H151,IF($B$29="c",Colony!H179,IF($B$29="r",Colony!H207,IF($B$29="s",Colony!H235,IF($B$29="f",Colony!H263,"error")))))))))</f>
        <v>11</v>
      </c>
      <c r="AL12">
        <f t="shared" si="3"/>
        <v>22000</v>
      </c>
      <c r="AM12" s="81">
        <f>IF($B$29="d",Colony!F39,IF($B$29="n",Colony!F67,IF($B$29="p",Colony!F95,IF($B$29="a",Colony!F123,IF($B$29="b",Colony!F151,IF($B$29="c",Colony!F179,IF($B$29="r",Colony!F207,IF($B$29="s",Colony!F235,IF($B$29="f",Colony!F263,"error")))))))))</f>
        <v>6</v>
      </c>
      <c r="AN12" s="17">
        <f t="shared" si="4"/>
        <v>27000</v>
      </c>
      <c r="AO12" s="21">
        <f t="shared" si="5"/>
        <v>1.2272727272727273</v>
      </c>
      <c r="AP12">
        <f t="shared" si="36"/>
        <v>16200</v>
      </c>
      <c r="AQ12" s="18">
        <f t="shared" si="37"/>
        <v>311.1076721445578</v>
      </c>
      <c r="AR12" s="18">
        <f t="shared" si="6"/>
        <v>1350</v>
      </c>
      <c r="AS12" s="142">
        <f t="shared" si="38"/>
        <v>3.9760279367699338</v>
      </c>
      <c r="AT12" s="27">
        <f t="shared" si="7"/>
        <v>15.976027936769935</v>
      </c>
      <c r="AU12" s="32">
        <f t="shared" si="8"/>
        <v>0.24887462343620659</v>
      </c>
      <c r="AV12" s="131">
        <f t="shared" si="9"/>
        <v>0.75112537656379341</v>
      </c>
      <c r="AW12" s="28">
        <f t="shared" si="10"/>
        <v>373.85027746029363</v>
      </c>
      <c r="AX12" s="258">
        <f t="shared" si="11"/>
        <v>16200</v>
      </c>
      <c r="AY12" s="80">
        <f>IF($B$29="d",Colony!J39,IF($B$29="n",Colony!J67,IF($B$29="p",Colony!J95,IF($B$29="a",Colony!J123,IF($B$29="b",Colony!J151,IF($B$29="c",Colony!J179,IF($B$29="r",Colony!J207,IF($B$29="s",Colony!J207,IF($B$29="f",Colony!J263,"error")))))))))</f>
        <v>0.06</v>
      </c>
      <c r="AZ12" s="106">
        <f t="shared" si="39"/>
        <v>3.8399999999999997E-2</v>
      </c>
      <c r="BA12" s="75">
        <f t="shared" si="40"/>
        <v>0.19199999999999998</v>
      </c>
      <c r="BB12" s="102">
        <f t="shared" si="41"/>
        <v>0.14421607230024833</v>
      </c>
      <c r="BC12" s="72">
        <f t="shared" si="12"/>
        <v>71.779253272376366</v>
      </c>
      <c r="BD12" s="73">
        <f t="shared" si="42"/>
        <v>0.11538588810502889</v>
      </c>
      <c r="BE12" s="369">
        <f t="shared" si="43"/>
        <v>0.10897775732736248</v>
      </c>
      <c r="BF12" s="370">
        <f t="shared" si="44"/>
        <v>1.0588021898672111</v>
      </c>
      <c r="BG12" s="73">
        <f t="shared" si="13"/>
        <v>18.976027936769935</v>
      </c>
      <c r="BH12" s="368">
        <v>1</v>
      </c>
      <c r="BI12" s="84">
        <f t="shared" si="14"/>
        <v>4.2749999999999995</v>
      </c>
      <c r="BJ12" s="78">
        <f t="shared" si="45"/>
        <v>9.8493837450082944E-2</v>
      </c>
      <c r="BK12" s="103">
        <f t="shared" si="46"/>
        <v>0.60690930426354506</v>
      </c>
      <c r="BL12" s="71">
        <f t="shared" si="47"/>
        <v>15577.92</v>
      </c>
      <c r="BM12" s="71">
        <f t="shared" si="15"/>
        <v>302.07102418791726</v>
      </c>
      <c r="BN12" s="74">
        <f>BM12/BL12</f>
        <v>1.9390972876219499E-2</v>
      </c>
      <c r="BO12" s="366">
        <f t="shared" si="48"/>
        <v>1.9204177292873936E-2</v>
      </c>
      <c r="BP12" s="368">
        <f t="shared" si="49"/>
        <v>1.0096742446326961</v>
      </c>
      <c r="BQ12" s="76">
        <f t="shared" si="17"/>
        <v>0.80800000000000005</v>
      </c>
      <c r="BR12" s="74">
        <f t="shared" si="18"/>
        <v>15.976027936769935</v>
      </c>
      <c r="BS12" s="367">
        <v>1</v>
      </c>
      <c r="BT12" s="83">
        <f t="shared" si="50"/>
        <v>2.2586249999999999</v>
      </c>
      <c r="BU12" s="79">
        <f t="shared" si="19"/>
        <v>6.518049768398862E-2</v>
      </c>
      <c r="BV12" s="112">
        <f t="shared" si="20"/>
        <v>5.3763044883771212E-2</v>
      </c>
      <c r="BW12" s="55">
        <f t="shared" si="21"/>
        <v>-6.0180723255630212E-3</v>
      </c>
      <c r="BX12" s="134">
        <f t="shared" si="22"/>
        <v>4.7744972558208192E-2</v>
      </c>
      <c r="BY12" s="134"/>
      <c r="BZ12" s="391">
        <f t="shared" ref="BZ12:BZ28" si="69">CL11</f>
        <v>497.72020640623685</v>
      </c>
      <c r="CA12" s="242">
        <f t="shared" si="23"/>
        <v>348.40414448436576</v>
      </c>
      <c r="CB12" s="242">
        <f t="shared" si="68"/>
        <v>303.86555192662894</v>
      </c>
      <c r="CC12" s="149">
        <f t="shared" si="51"/>
        <v>384.4391687143771</v>
      </c>
      <c r="CD12" s="17">
        <f t="shared" si="52"/>
        <v>882.15937512061396</v>
      </c>
      <c r="CE12" s="269">
        <f t="shared" si="53"/>
        <v>77.154859276257639</v>
      </c>
      <c r="CF12" s="136">
        <f t="shared" si="24"/>
        <v>805.00451584435632</v>
      </c>
      <c r="CG12" s="246">
        <f>IF($B$33=0,0, IF($B$33=1,Colony!AF12,IF($B$33=2,Colony!AG12,IF($B$33=3,Colony!AH12,IF($B$33=4,Colony!AI12,IF($B$33="X",Colony!AK12,"error"))))))</f>
        <v>0</v>
      </c>
      <c r="CH12" s="138">
        <f t="shared" si="54"/>
        <v>-39.688083590723465</v>
      </c>
      <c r="CI12" s="98">
        <f t="shared" si="62"/>
        <v>-39.688083590723465</v>
      </c>
      <c r="CJ12" s="268">
        <f t="shared" si="55"/>
        <v>765.31643225363291</v>
      </c>
      <c r="CK12" s="136">
        <f t="shared" si="25"/>
        <v>0</v>
      </c>
      <c r="CL12" s="95">
        <f t="shared" si="26"/>
        <v>765.31643225363291</v>
      </c>
      <c r="CM12" s="29">
        <f t="shared" si="56"/>
        <v>2.8290496479409323E-2</v>
      </c>
      <c r="CN12" s="274">
        <f t="shared" si="27"/>
        <v>40664</v>
      </c>
      <c r="CO12" s="89">
        <f t="shared" si="28"/>
        <v>123.86992894594322</v>
      </c>
      <c r="CP12" s="21">
        <f t="shared" si="29"/>
        <v>5.6304513157246919E-3</v>
      </c>
      <c r="CQ12" s="146">
        <f t="shared" si="30"/>
        <v>1.7735921644532779</v>
      </c>
      <c r="CR12" t="str">
        <f t="shared" si="67"/>
        <v/>
      </c>
      <c r="CS12" t="str">
        <f t="shared" si="63"/>
        <v/>
      </c>
      <c r="CT12">
        <f t="shared" si="64"/>
        <v>0</v>
      </c>
      <c r="CU12" s="17">
        <f t="shared" si="57"/>
        <v>15398.4375</v>
      </c>
      <c r="CV12" s="18">
        <f t="shared" si="58"/>
        <v>6000</v>
      </c>
      <c r="CW12" s="267">
        <f t="shared" si="59"/>
        <v>9398.4375</v>
      </c>
      <c r="CX12" s="267">
        <f t="shared" si="65"/>
        <v>617.97945205479448</v>
      </c>
      <c r="CY12" s="104">
        <f t="shared" si="60"/>
        <v>0.75</v>
      </c>
      <c r="CZ12" s="266">
        <f t="shared" si="61"/>
        <v>39.688083590723465</v>
      </c>
      <c r="DB12" s="17">
        <f t="shared" si="66"/>
        <v>384.4391687143771</v>
      </c>
      <c r="DC12" s="165">
        <f>DK$57</f>
        <v>84.287805295241128</v>
      </c>
      <c r="DD12" s="37">
        <f>DJ$59</f>
        <v>0.10719757978633365</v>
      </c>
      <c r="DH12" s="2">
        <v>40664</v>
      </c>
      <c r="DI12" s="262">
        <v>43040</v>
      </c>
      <c r="DK12" s="251">
        <v>0.6</v>
      </c>
    </row>
    <row r="13" spans="1:135" ht="12.75" customHeight="1" x14ac:dyDescent="0.2">
      <c r="A13" s="416"/>
      <c r="T13" s="125"/>
      <c r="U13" s="2">
        <f t="shared" si="0"/>
        <v>40678</v>
      </c>
      <c r="V13" s="59">
        <f t="shared" si="31"/>
        <v>7653.1643225363296</v>
      </c>
      <c r="W13" s="310">
        <f t="shared" si="32"/>
        <v>2.6070925723080157E-2</v>
      </c>
      <c r="X13" s="235">
        <f t="shared" si="33"/>
        <v>0</v>
      </c>
      <c r="Y13" s="123">
        <f t="shared" si="34"/>
        <v>2.4054036479439684</v>
      </c>
      <c r="Z13" s="4">
        <f t="shared" si="1"/>
        <v>2.534709031446325E-2</v>
      </c>
      <c r="AA13" s="3">
        <f t="shared" si="2"/>
        <v>0.29933508814694854</v>
      </c>
      <c r="AB13" s="428" t="s">
        <v>327</v>
      </c>
      <c r="AC13" s="430" t="s">
        <v>331</v>
      </c>
      <c r="AD13" s="430"/>
      <c r="AE13" s="430"/>
      <c r="AF13" s="430"/>
      <c r="AG13" s="430"/>
      <c r="AI13" s="437"/>
      <c r="AJ13" s="274">
        <f t="shared" si="35"/>
        <v>40678</v>
      </c>
      <c r="AK13" s="394">
        <f>IF($B$29="d",Colony!H40,IF($B$29="n",Colony!H68,IF($B$29="p",Colony!H96,IF($B$29="a",Colony!H124,IF($B$29="b",Colony!H152,IF($B$29="c",Colony!H180,IF($B$29="r",Colony!H208,IF($B$29="s",Colony!H236,IF($B$29="f",Colony!H264,"error")))))))))</f>
        <v>15</v>
      </c>
      <c r="AL13">
        <f t="shared" si="3"/>
        <v>30000</v>
      </c>
      <c r="AM13" s="81">
        <f>IF($B$29="d",Colony!F40,IF($B$29="n",Colony!F68,IF($B$29="p",Colony!F96,IF($B$29="a",Colony!F124,IF($B$29="b",Colony!F152,IF($B$29="c",Colony!F180,IF($B$29="r",Colony!F208,IF($B$29="s",Colony!F236,IF($B$29="f",Colony!F264,"error")))))))))</f>
        <v>6.5</v>
      </c>
      <c r="AN13" s="17">
        <f t="shared" si="4"/>
        <v>29250</v>
      </c>
      <c r="AO13" s="21">
        <f t="shared" si="5"/>
        <v>0.97499999999999998</v>
      </c>
      <c r="AP13">
        <f t="shared" si="36"/>
        <v>17550</v>
      </c>
      <c r="AQ13" s="18">
        <f t="shared" si="37"/>
        <v>444.84143501883005</v>
      </c>
      <c r="AR13" s="18">
        <f t="shared" si="6"/>
        <v>1462.5</v>
      </c>
      <c r="AS13" s="142">
        <f t="shared" si="38"/>
        <v>5.1265890399214493</v>
      </c>
      <c r="AT13" s="27">
        <f t="shared" si="7"/>
        <v>17.126589039921448</v>
      </c>
      <c r="AU13" s="32">
        <f t="shared" si="8"/>
        <v>0.29933508814694854</v>
      </c>
      <c r="AV13" s="131">
        <f t="shared" si="9"/>
        <v>0.70066491185305146</v>
      </c>
      <c r="AW13" s="28">
        <f t="shared" si="10"/>
        <v>536.23037054468352</v>
      </c>
      <c r="AX13" s="258">
        <f t="shared" si="11"/>
        <v>17550</v>
      </c>
      <c r="AY13" s="80">
        <f>IF($B$29="d",Colony!J40,IF($B$29="n",Colony!J68,IF($B$29="p",Colony!J96,IF($B$29="a",Colony!J124,IF($B$29="b",Colony!J152,IF($B$29="c",Colony!J180,IF($B$29="r",Colony!J208,IF($B$29="s",Colony!J208,IF($B$29="f",Colony!J264,"error")))))))))</f>
        <v>0.06</v>
      </c>
      <c r="AZ13" s="106">
        <f t="shared" si="39"/>
        <v>3.8399999999999997E-2</v>
      </c>
      <c r="BA13" s="75">
        <f t="shared" si="40"/>
        <v>0.19199999999999998</v>
      </c>
      <c r="BB13" s="102">
        <f t="shared" si="41"/>
        <v>0.13452766307578587</v>
      </c>
      <c r="BC13" s="72">
        <f t="shared" si="12"/>
        <v>102.95623114457922</v>
      </c>
      <c r="BD13" s="73">
        <f t="shared" si="42"/>
        <v>0.15277218534036566</v>
      </c>
      <c r="BE13" s="369">
        <f t="shared" si="43"/>
        <v>0.1416747613881586</v>
      </c>
      <c r="BF13" s="370">
        <f t="shared" si="44"/>
        <v>1.0783302815792468</v>
      </c>
      <c r="BG13" s="73">
        <f t="shared" si="13"/>
        <v>20.126589039921448</v>
      </c>
      <c r="BH13" s="368">
        <v>1</v>
      </c>
      <c r="BI13" s="84">
        <f t="shared" si="14"/>
        <v>4.2749999999999995</v>
      </c>
      <c r="BJ13" s="78">
        <f t="shared" si="45"/>
        <v>9.8493837450082944E-2</v>
      </c>
      <c r="BK13" s="103">
        <f t="shared" si="46"/>
        <v>0.56613724877726557</v>
      </c>
      <c r="BL13" s="71">
        <f t="shared" si="47"/>
        <v>16876.080000000002</v>
      </c>
      <c r="BM13" s="71">
        <f t="shared" si="15"/>
        <v>433.27413940010433</v>
      </c>
      <c r="BN13" s="74">
        <f t="shared" si="16"/>
        <v>2.5673861429911703E-2</v>
      </c>
      <c r="BO13" s="366">
        <f t="shared" si="48"/>
        <v>2.534709031446325E-2</v>
      </c>
      <c r="BP13" s="368">
        <f t="shared" si="49"/>
        <v>1.0128518997449907</v>
      </c>
      <c r="BQ13" s="76">
        <f t="shared" si="17"/>
        <v>0.80800000000000005</v>
      </c>
      <c r="BR13" s="74">
        <f t="shared" si="18"/>
        <v>17.126589039921448</v>
      </c>
      <c r="BS13" s="367">
        <v>1</v>
      </c>
      <c r="BT13" s="83">
        <f t="shared" si="50"/>
        <v>2.2586249999999999</v>
      </c>
      <c r="BU13" s="79">
        <f t="shared" si="19"/>
        <v>6.518049768398862E-2</v>
      </c>
      <c r="BV13" s="112">
        <f t="shared" si="20"/>
        <v>5.0151253412272223E-2</v>
      </c>
      <c r="BW13" s="55">
        <f t="shared" si="21"/>
        <v>-6.0180723255630212E-3</v>
      </c>
      <c r="BX13" s="134">
        <f t="shared" si="22"/>
        <v>4.4133181086709203E-2</v>
      </c>
      <c r="BY13" s="134"/>
      <c r="BZ13" s="391">
        <f t="shared" si="69"/>
        <v>765.31643225363291</v>
      </c>
      <c r="CA13" s="242">
        <f t="shared" si="23"/>
        <v>535.72150257754299</v>
      </c>
      <c r="CB13" s="242">
        <f t="shared" si="68"/>
        <v>478.29345406173229</v>
      </c>
      <c r="CC13" s="149">
        <f t="shared" si="51"/>
        <v>547.21256176081943</v>
      </c>
      <c r="CD13" s="17">
        <f t="shared" si="52"/>
        <v>1312.5289940144523</v>
      </c>
      <c r="CE13" s="269">
        <f t="shared" si="53"/>
        <v>114.79557173594299</v>
      </c>
      <c r="CF13" s="136">
        <f t="shared" si="24"/>
        <v>1197.7334222785094</v>
      </c>
      <c r="CG13" s="246">
        <f>IF($B$33=0,0, IF($B$33=1,Colony!AF13,IF($B$33=2,Colony!AG13,IF($B$33=3,Colony!AH13,IF($B$33=4,Colony!AI13,IF($B$33="X",Colony!AK13,"error"))))))</f>
        <v>0</v>
      </c>
      <c r="CH13" s="138">
        <f t="shared" si="54"/>
        <v>-60.009809758602131</v>
      </c>
      <c r="CI13" s="98">
        <f t="shared" si="62"/>
        <v>-60.009809758602131</v>
      </c>
      <c r="CJ13" s="268">
        <f t="shared" si="55"/>
        <v>1137.7236125199072</v>
      </c>
      <c r="CK13" s="136">
        <f t="shared" si="25"/>
        <v>0</v>
      </c>
      <c r="CL13" s="95">
        <f t="shared" si="26"/>
        <v>1137.7236125199072</v>
      </c>
      <c r="CM13" s="29">
        <f t="shared" si="56"/>
        <v>2.6070925723080157E-2</v>
      </c>
      <c r="CN13" s="274">
        <f t="shared" si="27"/>
        <v>40678</v>
      </c>
      <c r="CO13" s="89">
        <f t="shared" si="28"/>
        <v>229.08606170894939</v>
      </c>
      <c r="CP13" s="21">
        <f t="shared" si="29"/>
        <v>7.6362020569649795E-3</v>
      </c>
      <c r="CQ13" s="146">
        <f t="shared" si="30"/>
        <v>2.4054036479439684</v>
      </c>
      <c r="CR13" t="str">
        <f t="shared" si="67"/>
        <v/>
      </c>
      <c r="CS13" t="str">
        <f t="shared" si="63"/>
        <v/>
      </c>
      <c r="CT13">
        <f t="shared" si="64"/>
        <v>0</v>
      </c>
      <c r="CU13" s="17">
        <f t="shared" si="57"/>
        <v>18478.125</v>
      </c>
      <c r="CV13" s="18">
        <f t="shared" si="58"/>
        <v>8000</v>
      </c>
      <c r="CW13" s="267">
        <f t="shared" si="59"/>
        <v>10478.125</v>
      </c>
      <c r="CX13" s="267">
        <f t="shared" si="65"/>
        <v>688.97260273972597</v>
      </c>
      <c r="CY13" s="104">
        <f t="shared" si="60"/>
        <v>0.75</v>
      </c>
      <c r="CZ13" s="266">
        <f t="shared" si="61"/>
        <v>60.009809758602131</v>
      </c>
      <c r="DB13" s="17">
        <f t="shared" si="66"/>
        <v>547.21256176081943</v>
      </c>
      <c r="DC13" s="165">
        <f>DL$57</f>
        <v>112.173748213084</v>
      </c>
      <c r="DD13" s="37">
        <f>DK$59</f>
        <v>8.9481777351120909E-2</v>
      </c>
      <c r="DH13" s="2">
        <v>40678</v>
      </c>
      <c r="DI13" s="262">
        <v>43054</v>
      </c>
      <c r="DK13" s="251">
        <v>0.57999999999999996</v>
      </c>
      <c r="DL13">
        <v>10.08</v>
      </c>
    </row>
    <row r="14" spans="1:135" x14ac:dyDescent="0.2">
      <c r="A14" s="416"/>
      <c r="T14" s="125"/>
      <c r="U14" s="2">
        <f t="shared" si="0"/>
        <v>40695</v>
      </c>
      <c r="V14" s="59">
        <f t="shared" si="31"/>
        <v>11377.236125199071</v>
      </c>
      <c r="W14" s="310">
        <f t="shared" si="32"/>
        <v>2.4565169688689027E-2</v>
      </c>
      <c r="X14" s="235">
        <f t="shared" si="33"/>
        <v>10</v>
      </c>
      <c r="Y14" s="123">
        <f t="shared" si="34"/>
        <v>3.1219760225739646</v>
      </c>
      <c r="Z14" s="4">
        <f t="shared" si="1"/>
        <v>3.4341570763256835E-2</v>
      </c>
      <c r="AA14" s="3">
        <f t="shared" si="2"/>
        <v>0.3310288417704309</v>
      </c>
      <c r="AB14" s="429"/>
      <c r="AC14" s="430"/>
      <c r="AD14" s="430"/>
      <c r="AE14" s="430"/>
      <c r="AF14" s="430"/>
      <c r="AG14" s="430"/>
      <c r="AI14" s="437"/>
      <c r="AJ14" s="274">
        <f t="shared" si="35"/>
        <v>40695</v>
      </c>
      <c r="AK14" s="394">
        <f>IF($B$29="d",Colony!H41,IF($B$29="n",Colony!H69,IF($B$29="p",Colony!H97,IF($B$29="a",Colony!H125,IF($B$29="b",Colony!H153,IF($B$29="c",Colony!H181,IF($B$29="r",Colony!H209,IF($B$29="s",Colony!H237,IF($B$29="f",Colony!H265,"error")))))))))</f>
        <v>19</v>
      </c>
      <c r="AL14">
        <f t="shared" si="3"/>
        <v>38000</v>
      </c>
      <c r="AM14" s="81">
        <f>IF($B$29="d",Colony!F41,IF($B$29="n",Colony!F69,IF($B$29="p",Colony!F97,IF($B$29="a",Colony!F125,IF($B$29="b",Colony!F153,IF($B$29="c",Colony!F181,IF($B$29="r",Colony!F209,IF($B$29="s",Colony!F237,IF($B$29="f",Colony!F265,"error")))))))))</f>
        <v>7</v>
      </c>
      <c r="AN14" s="17">
        <f t="shared" si="4"/>
        <v>31500</v>
      </c>
      <c r="AO14" s="21">
        <f t="shared" si="5"/>
        <v>0.82894736842105265</v>
      </c>
      <c r="AP14">
        <f t="shared" si="36"/>
        <v>18900</v>
      </c>
      <c r="AQ14" s="18">
        <f t="shared" si="37"/>
        <v>649.0556874255542</v>
      </c>
      <c r="AR14" s="18">
        <f t="shared" si="6"/>
        <v>1575</v>
      </c>
      <c r="AS14" s="142">
        <f t="shared" si="38"/>
        <v>5.9379930694739915</v>
      </c>
      <c r="AT14" s="27">
        <f t="shared" si="7"/>
        <v>17.93799306947399</v>
      </c>
      <c r="AU14" s="32">
        <f t="shared" si="8"/>
        <v>0.3310288417704309</v>
      </c>
      <c r="AV14" s="131">
        <f t="shared" si="9"/>
        <v>0.6689711582295691</v>
      </c>
      <c r="AW14" s="28">
        <f t="shared" si="10"/>
        <v>761.1042828125718</v>
      </c>
      <c r="AX14" s="258">
        <f t="shared" si="11"/>
        <v>18900</v>
      </c>
      <c r="AY14" s="80">
        <f>IF($B$29="d",Colony!J41,IF($B$29="n",Colony!J69,IF($B$29="p",Colony!J97,IF($B$29="a",Colony!J125,IF($B$29="b",Colony!J153,IF($B$29="c",Colony!J181,IF($B$29="r",Colony!J209,IF($B$29="s",Colony!J209,IF($B$29="f",Colony!J265,"error")))))))))</f>
        <v>0.05</v>
      </c>
      <c r="AZ14" s="106">
        <f t="shared" si="39"/>
        <v>3.2000000000000001E-2</v>
      </c>
      <c r="BA14" s="75">
        <f t="shared" si="40"/>
        <v>0.16</v>
      </c>
      <c r="BB14" s="102">
        <f t="shared" si="41"/>
        <v>0.10703538531673105</v>
      </c>
      <c r="BC14" s="72">
        <f t="shared" si="12"/>
        <v>121.7766852500115</v>
      </c>
      <c r="BD14" s="73">
        <f t="shared" si="42"/>
        <v>0.20135033936840524</v>
      </c>
      <c r="BE14" s="369">
        <f t="shared" si="43"/>
        <v>0.18237406518234889</v>
      </c>
      <c r="BF14" s="370">
        <f t="shared" si="44"/>
        <v>1.1040513856346992</v>
      </c>
      <c r="BG14" s="73">
        <f t="shared" si="13"/>
        <v>20.93799306947399</v>
      </c>
      <c r="BH14" s="368">
        <v>1</v>
      </c>
      <c r="BI14" s="84">
        <f t="shared" si="14"/>
        <v>4.2749999999999995</v>
      </c>
      <c r="BJ14" s="78">
        <f t="shared" si="45"/>
        <v>9.8493837450082944E-2</v>
      </c>
      <c r="BK14" s="103">
        <f t="shared" si="46"/>
        <v>0.56193577291283803</v>
      </c>
      <c r="BL14" s="71">
        <f t="shared" si="47"/>
        <v>18295.2</v>
      </c>
      <c r="BM14" s="71">
        <f t="shared" si="15"/>
        <v>639.3275975625603</v>
      </c>
      <c r="BN14" s="74">
        <f t="shared" si="16"/>
        <v>3.4945100220962894E-2</v>
      </c>
      <c r="BO14" s="366">
        <f t="shared" si="48"/>
        <v>3.4341570763256835E-2</v>
      </c>
      <c r="BP14" s="368">
        <f t="shared" si="49"/>
        <v>1.0175446812604578</v>
      </c>
      <c r="BQ14" s="76">
        <f t="shared" si="17"/>
        <v>0.84</v>
      </c>
      <c r="BR14" s="74">
        <f t="shared" si="18"/>
        <v>17.93799306947399</v>
      </c>
      <c r="BS14" s="367">
        <v>1</v>
      </c>
      <c r="BT14" s="83">
        <f t="shared" si="50"/>
        <v>2.2586249999999999</v>
      </c>
      <c r="BU14" s="79">
        <f t="shared" si="19"/>
        <v>6.518049768398862E-2</v>
      </c>
      <c r="BV14" s="112">
        <f t="shared" si="20"/>
        <v>4.7169579187688701E-2</v>
      </c>
      <c r="BW14" s="55">
        <f t="shared" si="21"/>
        <v>-6.0180723255630212E-3</v>
      </c>
      <c r="BX14" s="134">
        <f t="shared" si="22"/>
        <v>4.1151506862125681E-2</v>
      </c>
      <c r="BY14" s="134"/>
      <c r="BZ14" s="391">
        <f t="shared" si="69"/>
        <v>1137.7236125199072</v>
      </c>
      <c r="CA14" s="242">
        <f t="shared" si="23"/>
        <v>796.40652876393494</v>
      </c>
      <c r="CB14" s="242">
        <f t="shared" si="68"/>
        <v>725.14265707610139</v>
      </c>
      <c r="CC14" s="149">
        <f t="shared" si="51"/>
        <v>760.70260203341354</v>
      </c>
      <c r="CD14" s="17">
        <f t="shared" si="52"/>
        <v>1898.4262145533207</v>
      </c>
      <c r="CE14" s="269">
        <f t="shared" si="53"/>
        <v>166.03893985731702</v>
      </c>
      <c r="CF14" s="136">
        <f t="shared" si="24"/>
        <v>1732.3872746960037</v>
      </c>
      <c r="CG14" s="246">
        <f>IF($B$33=0,0, IF($B$33=1,Colony!AF14,IF($B$33=2,Colony!AG14,IF($B$33=3,Colony!AH14,IF($B$33=4,Colony!AI14,IF($B$33="X",Colony!AK14,"error"))))))</f>
        <v>10</v>
      </c>
      <c r="CH14" s="138">
        <f t="shared" si="54"/>
        <v>-89.332881613198097</v>
      </c>
      <c r="CI14" s="98">
        <f t="shared" si="62"/>
        <v>-79.332881613198097</v>
      </c>
      <c r="CJ14" s="268">
        <f t="shared" si="55"/>
        <v>1653.0543930828055</v>
      </c>
      <c r="CK14" s="136">
        <f t="shared" si="25"/>
        <v>0</v>
      </c>
      <c r="CL14" s="95">
        <f t="shared" si="26"/>
        <v>1653.0543930828055</v>
      </c>
      <c r="CM14" s="29">
        <f t="shared" si="56"/>
        <v>2.4565169688689027E-2</v>
      </c>
      <c r="CN14" s="274">
        <f t="shared" si="27"/>
        <v>40695</v>
      </c>
      <c r="CO14" s="89">
        <f t="shared" si="28"/>
        <v>376.6193297073354</v>
      </c>
      <c r="CP14" s="21">
        <f t="shared" si="29"/>
        <v>9.9110349922982999E-3</v>
      </c>
      <c r="CQ14" s="146">
        <f t="shared" si="30"/>
        <v>3.1219760225739646</v>
      </c>
      <c r="CR14" t="str">
        <f t="shared" si="67"/>
        <v/>
      </c>
      <c r="CS14" t="str">
        <f t="shared" si="63"/>
        <v/>
      </c>
      <c r="CT14">
        <f t="shared" si="64"/>
        <v>0</v>
      </c>
      <c r="CU14" s="17">
        <f t="shared" si="57"/>
        <v>20017.96875</v>
      </c>
      <c r="CV14" s="18">
        <f t="shared" si="58"/>
        <v>8000</v>
      </c>
      <c r="CW14" s="267">
        <f t="shared" si="59"/>
        <v>12017.96875</v>
      </c>
      <c r="CX14" s="267">
        <f t="shared" si="65"/>
        <v>790.22260273972597</v>
      </c>
      <c r="CY14" s="104">
        <f t="shared" si="60"/>
        <v>0.75</v>
      </c>
      <c r="CZ14" s="266">
        <f t="shared" si="61"/>
        <v>89.332881613198097</v>
      </c>
      <c r="DB14" s="17">
        <f t="shared" si="66"/>
        <v>760.70260203341354</v>
      </c>
      <c r="DC14" s="165">
        <f>DM$57</f>
        <v>163.20727787673195</v>
      </c>
      <c r="DD14" s="37">
        <f>DL$59</f>
        <v>7.9676707069235797E-2</v>
      </c>
      <c r="DH14" s="2">
        <v>40695</v>
      </c>
      <c r="DI14" s="262">
        <v>43070</v>
      </c>
      <c r="DK14" s="251">
        <v>0.56999999999999995</v>
      </c>
    </row>
    <row r="15" spans="1:135" ht="12.75" customHeight="1" x14ac:dyDescent="0.2">
      <c r="A15" s="416"/>
      <c r="T15" s="125"/>
      <c r="U15" s="2">
        <f t="shared" si="0"/>
        <v>40709</v>
      </c>
      <c r="V15" s="59">
        <f t="shared" si="31"/>
        <v>16530.543930828055</v>
      </c>
      <c r="W15" s="310">
        <f t="shared" si="32"/>
        <v>2.1566541667720172E-2</v>
      </c>
      <c r="X15" s="235">
        <f t="shared" si="33"/>
        <v>10</v>
      </c>
      <c r="Y15" s="123">
        <f t="shared" si="34"/>
        <v>4.3763394747852171</v>
      </c>
      <c r="Z15" s="4">
        <f t="shared" si="1"/>
        <v>5.0205999416370939E-2</v>
      </c>
      <c r="AA15" s="3">
        <f t="shared" si="2"/>
        <v>0.36979921223943024</v>
      </c>
      <c r="AB15" s="428" t="s">
        <v>3</v>
      </c>
      <c r="AC15" s="430" t="s">
        <v>4</v>
      </c>
      <c r="AD15" s="430"/>
      <c r="AE15" s="430"/>
      <c r="AF15" s="430"/>
      <c r="AG15" s="430"/>
      <c r="AI15" s="437"/>
      <c r="AJ15" s="274">
        <f t="shared" si="35"/>
        <v>40709</v>
      </c>
      <c r="AK15" s="394">
        <f>IF($B$29="d",Colony!H42,IF($B$29="n",Colony!H70,IF($B$29="p",Colony!H98,IF($B$29="a",Colony!H126,IF($B$29="b",Colony!H154,IF($B$29="c",Colony!H182,IF($B$29="r",Colony!H210,IF($B$29="s",Colony!H238,IF($B$29="f",Colony!H266,"error")))))))))</f>
        <v>22</v>
      </c>
      <c r="AL15">
        <f t="shared" si="3"/>
        <v>44000</v>
      </c>
      <c r="AM15" s="81">
        <f>IF($B$29="d",Colony!F42,IF($B$29="n",Colony!F70,IF($B$29="p",Colony!F98,IF($B$29="a",Colony!F126,IF($B$29="b",Colony!F154,IF($B$29="c",Colony!F182,IF($B$29="r",Colony!F210,IF($B$29="s",Colony!F238,IF($B$29="f",Colony!F266,"error")))))))))</f>
        <v>6.5</v>
      </c>
      <c r="AN15" s="17">
        <f t="shared" si="4"/>
        <v>29250</v>
      </c>
      <c r="AO15" s="21">
        <f t="shared" si="5"/>
        <v>0.66477272727272729</v>
      </c>
      <c r="AP15">
        <f t="shared" si="36"/>
        <v>17550</v>
      </c>
      <c r="AQ15" s="18">
        <f t="shared" si="37"/>
        <v>881.11528975730994</v>
      </c>
      <c r="AR15" s="18">
        <f t="shared" si="6"/>
        <v>1462.5</v>
      </c>
      <c r="AS15" s="142">
        <f t="shared" si="38"/>
        <v>7.041550301201978</v>
      </c>
      <c r="AT15" s="27">
        <f t="shared" si="7"/>
        <v>19.04155030120198</v>
      </c>
      <c r="AU15" s="32">
        <f t="shared" si="8"/>
        <v>0.36979921223943024</v>
      </c>
      <c r="AV15" s="131">
        <f t="shared" si="9"/>
        <v>0.63020078776056976</v>
      </c>
      <c r="AW15" s="28">
        <f t="shared" si="10"/>
        <v>1041.7561807318546</v>
      </c>
      <c r="AX15" s="258">
        <f t="shared" si="11"/>
        <v>17550</v>
      </c>
      <c r="AY15" s="80">
        <f>IF($B$29="d",Colony!J42,IF($B$29="n",Colony!J70,IF($B$29="p",Colony!J98,IF($B$29="a",Colony!J126,IF($B$29="b",Colony!J154,IF($B$29="c",Colony!J182,IF($B$29="r",Colony!J210,IF($B$29="s",Colony!J210,IF($B$29="f",Colony!J266,"error")))))))))</f>
        <v>0.05</v>
      </c>
      <c r="AZ15" s="106">
        <f t="shared" si="39"/>
        <v>3.2000000000000001E-2</v>
      </c>
      <c r="BA15" s="75">
        <f t="shared" si="40"/>
        <v>0.16</v>
      </c>
      <c r="BB15" s="102">
        <f t="shared" si="41"/>
        <v>0.10083212604169116</v>
      </c>
      <c r="BC15" s="72">
        <f t="shared" si="12"/>
        <v>166.68098891709673</v>
      </c>
      <c r="BD15" s="73">
        <f t="shared" si="42"/>
        <v>0.29679663268713802</v>
      </c>
      <c r="BE15" s="369">
        <f t="shared" si="43"/>
        <v>0.25680486140738101</v>
      </c>
      <c r="BF15" s="370">
        <f t="shared" si="44"/>
        <v>1.1557282485253122</v>
      </c>
      <c r="BG15" s="73">
        <f t="shared" si="13"/>
        <v>22.04155030120198</v>
      </c>
      <c r="BH15" s="368">
        <v>1</v>
      </c>
      <c r="BI15" s="84">
        <f t="shared" si="14"/>
        <v>4.2749999999999995</v>
      </c>
      <c r="BJ15" s="78">
        <f t="shared" si="45"/>
        <v>9.8493837450082944E-2</v>
      </c>
      <c r="BK15" s="103">
        <f t="shared" si="46"/>
        <v>0.52936866171887864</v>
      </c>
      <c r="BL15" s="71">
        <f t="shared" si="47"/>
        <v>16988.399999999998</v>
      </c>
      <c r="BM15" s="71">
        <f t="shared" si="15"/>
        <v>875.07519181475777</v>
      </c>
      <c r="BN15" s="74">
        <f t="shared" si="16"/>
        <v>5.1510159391982641E-2</v>
      </c>
      <c r="BO15" s="366">
        <f t="shared" si="48"/>
        <v>5.0205999416370939E-2</v>
      </c>
      <c r="BP15" s="368">
        <f t="shared" si="49"/>
        <v>1.0259557430390229</v>
      </c>
      <c r="BQ15" s="76">
        <f t="shared" si="17"/>
        <v>0.84</v>
      </c>
      <c r="BR15" s="74">
        <f t="shared" si="18"/>
        <v>19.04155030120198</v>
      </c>
      <c r="BS15" s="367">
        <v>1</v>
      </c>
      <c r="BT15" s="83">
        <f t="shared" si="50"/>
        <v>2.2586249999999999</v>
      </c>
      <c r="BU15" s="79">
        <f t="shared" si="19"/>
        <v>6.518049768398862E-2</v>
      </c>
      <c r="BV15" s="112">
        <f t="shared" si="20"/>
        <v>4.4435855861240131E-2</v>
      </c>
      <c r="BW15" s="55">
        <f t="shared" si="21"/>
        <v>-6.0180723255630212E-3</v>
      </c>
      <c r="BX15" s="134">
        <f t="shared" si="22"/>
        <v>3.8417783535677111E-2</v>
      </c>
      <c r="BY15" s="134"/>
      <c r="BZ15" s="391">
        <f t="shared" si="69"/>
        <v>1653.0543930828055</v>
      </c>
      <c r="CA15" s="242">
        <f t="shared" si="23"/>
        <v>1157.1380751579638</v>
      </c>
      <c r="CB15" s="242">
        <f t="shared" si="68"/>
        <v>1064.9411237049435</v>
      </c>
      <c r="CC15" s="149">
        <f>CB15*EXP(BV15*$AK$36)-CB15</f>
        <v>1028.3024720365488</v>
      </c>
      <c r="CD15" s="17">
        <f t="shared" si="52"/>
        <v>2681.3568651193546</v>
      </c>
      <c r="CE15" s="269">
        <f t="shared" si="53"/>
        <v>234.51511986643618</v>
      </c>
      <c r="CF15" s="136">
        <f t="shared" si="24"/>
        <v>2446.8417452529184</v>
      </c>
      <c r="CG15" s="246">
        <f>IF($B$33=0,0, IF($B$33=1,Colony!AF15,IF($B$33=2,Colony!AG15,IF($B$33=3,Colony!AH15,IF($B$33=4,Colony!AI15,IF($B$33="X",Colony!AK15,"error"))))))</f>
        <v>10</v>
      </c>
      <c r="CH15" s="138">
        <f t="shared" si="54"/>
        <v>-162.11016425013543</v>
      </c>
      <c r="CI15" s="98">
        <f t="shared" si="62"/>
        <v>-152.11016425013543</v>
      </c>
      <c r="CJ15" s="268">
        <f t="shared" si="55"/>
        <v>2294.7315810027831</v>
      </c>
      <c r="CK15" s="136">
        <f t="shared" si="25"/>
        <v>0</v>
      </c>
      <c r="CL15" s="95">
        <f t="shared" si="26"/>
        <v>2294.7315810027831</v>
      </c>
      <c r="CM15" s="29">
        <f t="shared" si="56"/>
        <v>2.1566541667720172E-2</v>
      </c>
      <c r="CN15" s="274">
        <f t="shared" si="27"/>
        <v>40709</v>
      </c>
      <c r="CO15" s="89">
        <f t="shared" si="28"/>
        <v>611.29821235095096</v>
      </c>
      <c r="CP15" s="21">
        <f t="shared" si="29"/>
        <v>1.3893141189794339E-2</v>
      </c>
      <c r="CQ15" s="146">
        <f t="shared" si="30"/>
        <v>4.3763394747852171</v>
      </c>
      <c r="CR15" t="str">
        <f t="shared" si="67"/>
        <v/>
      </c>
      <c r="CS15" t="str">
        <f t="shared" si="63"/>
        <v/>
      </c>
      <c r="CT15">
        <f t="shared" si="64"/>
        <v>0</v>
      </c>
      <c r="CU15" s="17">
        <f t="shared" si="57"/>
        <v>21557.8125</v>
      </c>
      <c r="CV15" s="18">
        <f t="shared" si="58"/>
        <v>6000</v>
      </c>
      <c r="CW15" s="267">
        <f t="shared" si="59"/>
        <v>15557.8125</v>
      </c>
      <c r="CX15" s="267">
        <f t="shared" si="65"/>
        <v>1022.9794520547945</v>
      </c>
      <c r="CY15" s="104">
        <f t="shared" si="60"/>
        <v>0.75</v>
      </c>
      <c r="CZ15" s="266">
        <f t="shared" si="61"/>
        <v>162.11016425013543</v>
      </c>
      <c r="DB15" s="17">
        <f t="shared" si="66"/>
        <v>1028.3024720365488</v>
      </c>
      <c r="DC15" s="165">
        <f>DN$57</f>
        <v>254.48305255056678</v>
      </c>
      <c r="DD15" s="37">
        <f>DM$59</f>
        <v>7.9728342759929252E-2</v>
      </c>
      <c r="DH15" s="2">
        <v>40709</v>
      </c>
      <c r="DI15" s="262">
        <v>43084</v>
      </c>
      <c r="DK15" s="251">
        <v>0.55000000000000004</v>
      </c>
      <c r="DL15">
        <v>5.9849999999999994</v>
      </c>
    </row>
    <row r="16" spans="1:135" x14ac:dyDescent="0.2">
      <c r="A16" s="416"/>
      <c r="T16" s="125"/>
      <c r="U16" s="2">
        <f t="shared" si="0"/>
        <v>40725</v>
      </c>
      <c r="V16" s="59">
        <f t="shared" si="31"/>
        <v>22947.315810027831</v>
      </c>
      <c r="W16" s="310">
        <f t="shared" si="32"/>
        <v>2.0110754703390132E-2</v>
      </c>
      <c r="X16" s="235">
        <f t="shared" si="33"/>
        <v>21</v>
      </c>
      <c r="Y16" s="123">
        <f t="shared" si="34"/>
        <v>5.9676761820994955</v>
      </c>
      <c r="Z16" s="4">
        <f t="shared" si="1"/>
        <v>7.1522148672225727E-2</v>
      </c>
      <c r="AA16" s="3">
        <f t="shared" si="2"/>
        <v>0.39628172098980846</v>
      </c>
      <c r="AB16" s="429"/>
      <c r="AC16" s="430"/>
      <c r="AD16" s="430"/>
      <c r="AE16" s="430"/>
      <c r="AF16" s="430"/>
      <c r="AG16" s="430"/>
      <c r="AI16" s="437"/>
      <c r="AJ16" s="274">
        <f t="shared" si="35"/>
        <v>40725</v>
      </c>
      <c r="AK16" s="394">
        <f>IF($B$29="d",Colony!H43,IF($B$29="n",Colony!H71,IF($B$29="p",Colony!H99,IF($B$29="a",Colony!H127,IF($B$29="b",Colony!H155,IF($B$29="c",Colony!H183,IF($B$29="r",Colony!H211,IF($B$29="s",Colony!H239,IF($B$29="f",Colony!H267,"error")))))))))</f>
        <v>24</v>
      </c>
      <c r="AL16">
        <f t="shared" si="3"/>
        <v>48000</v>
      </c>
      <c r="AM16" s="81">
        <f>IF($B$29="d",Colony!F43,IF($B$29="n",Colony!F71,IF($B$29="p",Colony!F99,IF($B$29="a",Colony!F127,IF($B$29="b",Colony!F155,IF($B$29="c",Colony!F183,IF($B$29="r",Colony!F211,IF($B$29="s",Colony!F239,IF($B$29="f",Colony!F267,"error")))))))))</f>
        <v>6</v>
      </c>
      <c r="AN16" s="17">
        <f t="shared" si="4"/>
        <v>27000</v>
      </c>
      <c r="AO16" s="21">
        <f t="shared" si="5"/>
        <v>0.5625</v>
      </c>
      <c r="AP16">
        <f t="shared" si="36"/>
        <v>16200</v>
      </c>
      <c r="AQ16" s="18">
        <f t="shared" si="37"/>
        <v>1158.6588084900568</v>
      </c>
      <c r="AR16" s="129">
        <f t="shared" si="6"/>
        <v>1350</v>
      </c>
      <c r="AS16" s="142">
        <f t="shared" si="38"/>
        <v>7.8768207245178088</v>
      </c>
      <c r="AT16" s="27">
        <f t="shared" si="7"/>
        <v>19.87682072451781</v>
      </c>
      <c r="AU16" s="32">
        <f t="shared" si="8"/>
        <v>0.39628172098980846</v>
      </c>
      <c r="AV16" s="131">
        <f t="shared" si="9"/>
        <v>0.60371827901019159</v>
      </c>
      <c r="AW16" s="28">
        <f t="shared" si="10"/>
        <v>1385.3714008733361</v>
      </c>
      <c r="AX16" s="258">
        <f t="shared" si="11"/>
        <v>16200</v>
      </c>
      <c r="AY16" s="80">
        <f>IF($B$29="d",Colony!J43,IF($B$29="n",Colony!J71,IF($B$29="p",Colony!J99,IF($B$29="a",Colony!J127,IF($B$29="b",Colony!J155,IF($B$29="c",Colony!J183,IF($B$29="r",Colony!J211,IF($B$29="s",Colony!J211,IF($B$29="f",Colony!J267,"error")))))))))</f>
        <v>0.05</v>
      </c>
      <c r="AZ16" s="106">
        <f t="shared" si="39"/>
        <v>3.2000000000000001E-2</v>
      </c>
      <c r="BA16" s="75">
        <f t="shared" si="40"/>
        <v>0.16</v>
      </c>
      <c r="BB16" s="102">
        <f t="shared" si="41"/>
        <v>9.6594924641630664E-2</v>
      </c>
      <c r="BC16" s="72">
        <f t="shared" si="12"/>
        <v>221.6594241397338</v>
      </c>
      <c r="BD16" s="73">
        <f t="shared" si="42"/>
        <v>0.42758376570164702</v>
      </c>
      <c r="BE16" s="369">
        <f t="shared" si="43"/>
        <v>0.34791722246304924</v>
      </c>
      <c r="BF16" s="370">
        <f t="shared" si="44"/>
        <v>1.2289813153675047</v>
      </c>
      <c r="BG16" s="73">
        <f t="shared" si="13"/>
        <v>22.87682072451781</v>
      </c>
      <c r="BH16" s="368">
        <v>1</v>
      </c>
      <c r="BI16" s="84">
        <f t="shared" si="14"/>
        <v>4.2749999999999995</v>
      </c>
      <c r="BJ16" s="78">
        <f t="shared" si="45"/>
        <v>9.8493837450082944E-2</v>
      </c>
      <c r="BK16" s="103">
        <f t="shared" si="46"/>
        <v>0.50712335436856093</v>
      </c>
      <c r="BL16" s="71">
        <f t="shared" si="47"/>
        <v>15681.6</v>
      </c>
      <c r="BM16" s="71">
        <f t="shared" si="15"/>
        <v>1163.7119767336023</v>
      </c>
      <c r="BN16" s="74">
        <f t="shared" si="16"/>
        <v>7.4208752725079222E-2</v>
      </c>
      <c r="BO16" s="366">
        <f t="shared" si="48"/>
        <v>7.1522148672225727E-2</v>
      </c>
      <c r="BP16" s="368">
        <f t="shared" si="49"/>
        <v>1.0375487391524247</v>
      </c>
      <c r="BQ16" s="76">
        <f t="shared" si="17"/>
        <v>0.84</v>
      </c>
      <c r="BR16" s="74">
        <f t="shared" si="18"/>
        <v>19.87682072451781</v>
      </c>
      <c r="BS16" s="367">
        <v>1</v>
      </c>
      <c r="BT16" s="83">
        <f t="shared" si="50"/>
        <v>2.2586249999999999</v>
      </c>
      <c r="BU16" s="79">
        <f t="shared" si="19"/>
        <v>6.518049768398862E-2</v>
      </c>
      <c r="BV16" s="112">
        <f t="shared" si="20"/>
        <v>4.256855743107231E-2</v>
      </c>
      <c r="BW16" s="55">
        <f t="shared" si="21"/>
        <v>-6.0180723255630212E-3</v>
      </c>
      <c r="BX16" s="134">
        <f t="shared" si="22"/>
        <v>3.6550485105509289E-2</v>
      </c>
      <c r="BY16" s="134"/>
      <c r="BZ16" s="391">
        <f t="shared" si="69"/>
        <v>2294.7315810027831</v>
      </c>
      <c r="CA16" s="242">
        <f t="shared" si="23"/>
        <v>1606.3121067019481</v>
      </c>
      <c r="CB16" s="242">
        <f t="shared" si="68"/>
        <v>1478.243504479391</v>
      </c>
      <c r="CC16" s="149">
        <f>CB16*EXP(BV16*$AK$36)-CB16</f>
        <v>1346.0305863464546</v>
      </c>
      <c r="CD16" s="17">
        <f t="shared" si="52"/>
        <v>3640.7621673492376</v>
      </c>
      <c r="CE16" s="269">
        <f t="shared" si="53"/>
        <v>318.42601303392212</v>
      </c>
      <c r="CF16" s="136">
        <f t="shared" si="24"/>
        <v>3322.3361543153155</v>
      </c>
      <c r="CG16" s="246">
        <f>IF($B$33=0,0, IF($B$33=1,Colony!AF16,IF($B$33=2,Colony!AG16,IF($B$33=3,Colony!AH16,IF($B$33=4,Colony!AI16,IF($B$33="X",Colony!AK16,"error"))))))</f>
        <v>21</v>
      </c>
      <c r="CH16" s="138">
        <f t="shared" si="54"/>
        <v>-227.59535855949767</v>
      </c>
      <c r="CI16" s="98">
        <f t="shared" si="62"/>
        <v>-206.59535855949767</v>
      </c>
      <c r="CJ16" s="268">
        <f t="shared" si="55"/>
        <v>3115.740795755818</v>
      </c>
      <c r="CK16" s="136">
        <f t="shared" si="25"/>
        <v>0</v>
      </c>
      <c r="CL16" s="95">
        <f t="shared" si="26"/>
        <v>3115.740795755818</v>
      </c>
      <c r="CM16" s="29">
        <f>LN(CL16/BZ16)/$AK$36</f>
        <v>2.0110754703390132E-2</v>
      </c>
      <c r="CN16" s="274">
        <f t="shared" si="27"/>
        <v>40725</v>
      </c>
      <c r="CO16" s="89">
        <f t="shared" si="28"/>
        <v>909.36018012944692</v>
      </c>
      <c r="CP16" s="21">
        <f t="shared" si="29"/>
        <v>1.894500375269681E-2</v>
      </c>
      <c r="CQ16" s="146">
        <f t="shared" si="30"/>
        <v>5.9676761820994955</v>
      </c>
      <c r="CR16" t="str">
        <f t="shared" si="67"/>
        <v/>
      </c>
      <c r="CS16" t="str">
        <f t="shared" si="63"/>
        <v/>
      </c>
      <c r="CT16">
        <f t="shared" si="64"/>
        <v>0</v>
      </c>
      <c r="CU16" s="17">
        <f t="shared" si="57"/>
        <v>20017.96875</v>
      </c>
      <c r="CV16" s="18">
        <f t="shared" si="58"/>
        <v>4000</v>
      </c>
      <c r="CW16" s="267">
        <f t="shared" si="59"/>
        <v>16017.96875</v>
      </c>
      <c r="CX16" s="267">
        <f t="shared" si="65"/>
        <v>1053.236301369863</v>
      </c>
      <c r="CY16" s="104">
        <f t="shared" si="60"/>
        <v>0.75</v>
      </c>
      <c r="CZ16" s="266">
        <f t="shared" si="61"/>
        <v>227.59535855949767</v>
      </c>
      <c r="DB16" s="17">
        <f t="shared" si="66"/>
        <v>1346.0305863464546</v>
      </c>
      <c r="DC16" s="165">
        <f>DO$57</f>
        <v>388.54403688071022</v>
      </c>
      <c r="DD16" s="37">
        <f>DN$59</f>
        <v>8.7793614847697904E-2</v>
      </c>
      <c r="DH16" s="2">
        <v>40725</v>
      </c>
      <c r="DI16" s="262">
        <v>43101</v>
      </c>
      <c r="DK16" s="251">
        <v>0.55000000000000004</v>
      </c>
    </row>
    <row r="17" spans="1:130" ht="12.75" customHeight="1" x14ac:dyDescent="0.2">
      <c r="A17" s="416"/>
      <c r="T17" s="125"/>
      <c r="U17" s="2">
        <f t="shared" si="0"/>
        <v>40739</v>
      </c>
      <c r="V17" s="59">
        <f t="shared" si="31"/>
        <v>31157.407957558178</v>
      </c>
      <c r="W17" s="310">
        <f t="shared" si="32"/>
        <v>1.7957040904016751E-2</v>
      </c>
      <c r="X17" s="235">
        <f t="shared" si="33"/>
        <v>45</v>
      </c>
      <c r="Y17" s="123">
        <f t="shared" si="34"/>
        <v>8.4085133333203146</v>
      </c>
      <c r="Z17" s="4">
        <f t="shared" si="1"/>
        <v>0.10817449166910231</v>
      </c>
      <c r="AA17" s="3">
        <f t="shared" si="2"/>
        <v>0.42836832187730856</v>
      </c>
      <c r="AB17" s="428">
        <v>25</v>
      </c>
      <c r="AC17" s="430" t="s">
        <v>332</v>
      </c>
      <c r="AD17" s="430"/>
      <c r="AE17" s="430"/>
      <c r="AF17" s="430"/>
      <c r="AG17" s="430"/>
      <c r="AI17" s="437"/>
      <c r="AJ17" s="274">
        <f t="shared" si="35"/>
        <v>40739</v>
      </c>
      <c r="AK17" s="394">
        <f>IF($B$29="d",Colony!H44,IF($B$29="n",Colony!H72,IF($B$29="p",Colony!H100,IF($B$29="a",Colony!H128,IF($B$29="b",Colony!H156,IF($B$29="c",Colony!H184,IF($B$29="r",Colony!H212,IF($B$29="s",Colony!H240,IF($B$29="f",Colony!H268,"error")))))))))</f>
        <v>25</v>
      </c>
      <c r="AL17">
        <f t="shared" si="3"/>
        <v>50000</v>
      </c>
      <c r="AM17" s="81">
        <f>IF($B$29="d",Colony!F44,IF($B$29="n",Colony!F72,IF($B$29="p",Colony!F100,IF($B$29="a",Colony!F128,IF($B$29="b",Colony!F156,IF($B$29="c",Colony!F184,IF($B$29="r",Colony!F212,IF($B$29="s",Colony!F240,IF($B$29="f",Colony!F268,"error")))))))))</f>
        <v>5</v>
      </c>
      <c r="AN17" s="17">
        <f t="shared" si="4"/>
        <v>22500</v>
      </c>
      <c r="AO17" s="21">
        <f t="shared" si="5"/>
        <v>0.45</v>
      </c>
      <c r="AP17">
        <f t="shared" si="36"/>
        <v>13500</v>
      </c>
      <c r="AQ17" s="18">
        <f t="shared" si="37"/>
        <v>1460.3556375328812</v>
      </c>
      <c r="AR17" s="129">
        <f t="shared" si="6"/>
        <v>1125</v>
      </c>
      <c r="AS17" s="142">
        <f t="shared" si="38"/>
        <v>8.9925384810888573</v>
      </c>
      <c r="AT17" s="27">
        <f t="shared" si="7"/>
        <v>20.992538481088857</v>
      </c>
      <c r="AU17" s="32">
        <f t="shared" si="8"/>
        <v>0.42836832187730856</v>
      </c>
      <c r="AV17" s="131">
        <f t="shared" si="9"/>
        <v>0.57163167812269144</v>
      </c>
      <c r="AW17" s="28">
        <f t="shared" si="10"/>
        <v>1781.0561396732282</v>
      </c>
      <c r="AX17" s="258">
        <f t="shared" si="11"/>
        <v>13500</v>
      </c>
      <c r="AY17" s="80">
        <f>IF($B$29="d",Colony!J44,IF($B$29="n",Colony!J72,IF($B$29="p",Colony!J100,IF($B$29="a",Colony!J128,IF($B$29="b",Colony!J156,IF($B$29="c",Colony!J184,IF($B$29="r",Colony!J212,IF($B$29="s",Colony!J212,IF($B$29="f",Colony!J268,"error")))))))))</f>
        <v>0.05</v>
      </c>
      <c r="AZ17" s="106">
        <f t="shared" si="39"/>
        <v>3.2000000000000001E-2</v>
      </c>
      <c r="BA17" s="75">
        <f t="shared" si="40"/>
        <v>0.16</v>
      </c>
      <c r="BB17" s="102">
        <f t="shared" si="41"/>
        <v>9.1461068499630635E-2</v>
      </c>
      <c r="BC17" s="72">
        <f t="shared" si="12"/>
        <v>284.96898234771652</v>
      </c>
      <c r="BD17" s="73">
        <f t="shared" si="42"/>
        <v>0.65965042210119562</v>
      </c>
      <c r="BE17" s="369">
        <f t="shared" si="43"/>
        <v>0.4829679541202816</v>
      </c>
      <c r="BF17" s="370">
        <f t="shared" si="44"/>
        <v>1.3658264828413684</v>
      </c>
      <c r="BG17" s="73">
        <f t="shared" si="13"/>
        <v>23.992538481088857</v>
      </c>
      <c r="BH17" s="368">
        <v>1</v>
      </c>
      <c r="BI17" s="84">
        <f t="shared" si="14"/>
        <v>4.2749999999999995</v>
      </c>
      <c r="BJ17" s="78">
        <f t="shared" si="45"/>
        <v>9.8493837450082944E-2</v>
      </c>
      <c r="BK17" s="103">
        <f t="shared" si="46"/>
        <v>0.4801706096230608</v>
      </c>
      <c r="BL17" s="71">
        <f t="shared" si="47"/>
        <v>13068</v>
      </c>
      <c r="BM17" s="71">
        <f t="shared" si="15"/>
        <v>1496.0871573255117</v>
      </c>
      <c r="BN17" s="74">
        <f t="shared" si="16"/>
        <v>0.11448478400103396</v>
      </c>
      <c r="BO17" s="366">
        <f t="shared" si="48"/>
        <v>0.10817449166910231</v>
      </c>
      <c r="BP17" s="368">
        <f t="shared" si="49"/>
        <v>1.0583246004670921</v>
      </c>
      <c r="BQ17" s="76">
        <f t="shared" si="17"/>
        <v>0.84</v>
      </c>
      <c r="BR17" s="74">
        <f t="shared" si="18"/>
        <v>20.992538481088857</v>
      </c>
      <c r="BS17" s="367">
        <v>1</v>
      </c>
      <c r="BT17" s="83">
        <f t="shared" si="50"/>
        <v>2.2586249999999999</v>
      </c>
      <c r="BU17" s="79">
        <f t="shared" si="19"/>
        <v>6.518049768398862E-2</v>
      </c>
      <c r="BV17" s="112">
        <f t="shared" si="20"/>
        <v>4.0306110922268837E-2</v>
      </c>
      <c r="BW17" s="55">
        <f t="shared" si="21"/>
        <v>-6.0180723255630212E-3</v>
      </c>
      <c r="BX17" s="134">
        <f t="shared" si="22"/>
        <v>3.4288038596705817E-2</v>
      </c>
      <c r="BY17" s="134"/>
      <c r="BZ17" s="391">
        <f t="shared" si="69"/>
        <v>3115.740795755818</v>
      </c>
      <c r="CA17" s="242">
        <f t="shared" si="23"/>
        <v>2181.0185570290723</v>
      </c>
      <c r="CB17" s="242">
        <f t="shared" si="68"/>
        <v>1989.5390538575803</v>
      </c>
      <c r="CC17" s="149">
        <f t="shared" ref="CC17:CC26" si="70">CB17*EXP(BV17*$AK$36)-CB17</f>
        <v>1683.0311719500014</v>
      </c>
      <c r="CD17" s="17">
        <f t="shared" si="52"/>
        <v>4798.7719677058194</v>
      </c>
      <c r="CE17" s="269">
        <f t="shared" si="53"/>
        <v>419.70712584284411</v>
      </c>
      <c r="CF17" s="136">
        <f t="shared" si="24"/>
        <v>4379.0648418629753</v>
      </c>
      <c r="CG17" s="246">
        <f>IF($B$33=0,0, IF($B$33=1,Colony!AF17,IF($B$33=2,Colony!AG17,IF($B$33=3,Colony!AH17,IF($B$33=4,Colony!AI17,IF($B$33="X",Colony!AK17,"error"))))))</f>
        <v>45</v>
      </c>
      <c r="CH17" s="138">
        <f t="shared" si="54"/>
        <v>-329.89650897766387</v>
      </c>
      <c r="CI17" s="98">
        <f t="shared" si="62"/>
        <v>-284.89650897766387</v>
      </c>
      <c r="CJ17" s="268">
        <f t="shared" si="55"/>
        <v>4094.1683328853114</v>
      </c>
      <c r="CK17" s="136">
        <f t="shared" si="25"/>
        <v>0</v>
      </c>
      <c r="CL17" s="95">
        <f t="shared" si="26"/>
        <v>4094.1683328853114</v>
      </c>
      <c r="CM17" s="29">
        <f t="shared" si="56"/>
        <v>1.7957040904016751E-2</v>
      </c>
      <c r="CN17" s="274">
        <f t="shared" si="27"/>
        <v>40739</v>
      </c>
      <c r="CO17" s="89">
        <f t="shared" si="28"/>
        <v>1334.6846560825898</v>
      </c>
      <c r="CP17" s="21">
        <f t="shared" si="29"/>
        <v>2.6693693121651794E-2</v>
      </c>
      <c r="CQ17" s="146">
        <f t="shared" si="30"/>
        <v>8.4085133333203146</v>
      </c>
      <c r="CR17" t="str">
        <f t="shared" si="67"/>
        <v/>
      </c>
      <c r="CS17" t="str">
        <f t="shared" si="63"/>
        <v/>
      </c>
      <c r="CT17">
        <f t="shared" si="64"/>
        <v>0</v>
      </c>
      <c r="CU17" s="17">
        <f t="shared" si="57"/>
        <v>18478.125</v>
      </c>
      <c r="CV17" s="18">
        <f t="shared" si="58"/>
        <v>2000</v>
      </c>
      <c r="CW17" s="267">
        <f t="shared" si="59"/>
        <v>16478.125</v>
      </c>
      <c r="CX17" s="267">
        <f t="shared" si="65"/>
        <v>1083.4931506849314</v>
      </c>
      <c r="CY17" s="104">
        <f t="shared" si="60"/>
        <v>0.75</v>
      </c>
      <c r="CZ17" s="266">
        <f t="shared" si="61"/>
        <v>329.89650897766387</v>
      </c>
      <c r="DB17" s="17">
        <f t="shared" si="66"/>
        <v>1683.0311719500014</v>
      </c>
      <c r="DC17" s="165">
        <f>DP$57</f>
        <v>599.8034697566161</v>
      </c>
      <c r="DD17" s="37">
        <f>DO$59</f>
        <v>9.7270239462077218E-2</v>
      </c>
      <c r="DH17" s="2">
        <v>40739</v>
      </c>
      <c r="DI17" s="262">
        <v>43115</v>
      </c>
      <c r="DK17" s="251">
        <v>0.56000000000000005</v>
      </c>
      <c r="DL17">
        <v>11.654999999999999</v>
      </c>
    </row>
    <row r="18" spans="1:130" ht="12.75" customHeight="1" x14ac:dyDescent="0.2">
      <c r="A18" s="416"/>
      <c r="B18" s="442" t="str">
        <f>IF($B$29="d",Colony!B30,IF($B$29="n",Colony!B58,IF($B$29="p",Colony!B86,IF($B$29="a",Colony!B114,IF($B$29="b",Colony!B142,IF($B$29="c",Colony!B170,IF($B$29="r",Colony!B198,IF($B$29="s",Colony!B226,IF($B$29="f",Colony!B254,"error")))))))))</f>
        <v>D: Default colony in temperate climate, managed to prevent swarming (slight fall brood buildup)</v>
      </c>
      <c r="C18" s="442"/>
      <c r="D18" s="442"/>
      <c r="E18" s="442"/>
      <c r="F18" s="442"/>
      <c r="G18" s="442"/>
      <c r="H18" s="442"/>
      <c r="I18" s="442"/>
      <c r="J18" s="442"/>
      <c r="K18" s="442"/>
      <c r="L18" s="442"/>
      <c r="M18" s="442"/>
      <c r="N18" s="442"/>
      <c r="O18" s="442"/>
      <c r="P18" s="442"/>
      <c r="Q18" s="442"/>
      <c r="R18" s="442"/>
      <c r="S18" s="442"/>
      <c r="T18" s="125"/>
      <c r="U18" s="2">
        <f t="shared" si="0"/>
        <v>40756</v>
      </c>
      <c r="V18" s="59">
        <f t="shared" si="31"/>
        <v>40941.683328853112</v>
      </c>
      <c r="W18" s="310">
        <f t="shared" si="32"/>
        <v>1.7959044957053465E-2</v>
      </c>
      <c r="X18" s="235">
        <f t="shared" si="33"/>
        <v>130</v>
      </c>
      <c r="Y18" s="123">
        <f t="shared" si="34"/>
        <v>11.409961068441325</v>
      </c>
      <c r="Z18" s="4">
        <f t="shared" si="1"/>
        <v>0.15045920659615442</v>
      </c>
      <c r="AA18" s="3">
        <f t="shared" si="2"/>
        <v>0.44236210732993247</v>
      </c>
      <c r="AB18" s="429"/>
      <c r="AC18" s="430"/>
      <c r="AD18" s="430"/>
      <c r="AE18" s="430"/>
      <c r="AF18" s="430"/>
      <c r="AG18" s="430"/>
      <c r="AI18" s="437"/>
      <c r="AJ18" s="274">
        <f t="shared" si="35"/>
        <v>40756</v>
      </c>
      <c r="AK18" s="394">
        <f>IF($B$29="d",Colony!H45,IF($B$29="n",Colony!H73,IF($B$29="p",Colony!H101,IF($B$29="a",Colony!H129,IF($B$29="b",Colony!H157,IF($B$29="c",Colony!H185,IF($B$29="r",Colony!H213,IF($B$29="s",Colony!H241,IF($B$29="f",Colony!H269,"error")))))))))</f>
        <v>25</v>
      </c>
      <c r="AL18">
        <f t="shared" si="3"/>
        <v>50000</v>
      </c>
      <c r="AM18" s="81">
        <f>IF($B$29="d",Colony!F45,IF($B$29="n",Colony!F73,IF($B$29="p",Colony!F101,IF($B$29="a",Colony!F129,IF($B$29="b",Colony!F157,IF($B$29="c",Colony!F185,IF($B$29="r",Colony!F213,IF($B$29="s",Colony!F241,IF($B$29="f",Colony!F269,"error")))))))))</f>
        <v>4.5</v>
      </c>
      <c r="AN18" s="17">
        <f t="shared" si="4"/>
        <v>20250</v>
      </c>
      <c r="AO18" s="21">
        <f t="shared" si="5"/>
        <v>0.40500000000000003</v>
      </c>
      <c r="AP18">
        <f t="shared" si="36"/>
        <v>12150</v>
      </c>
      <c r="AQ18" s="18">
        <f t="shared" si="37"/>
        <v>1828.0793601432761</v>
      </c>
      <c r="AR18" s="18">
        <f t="shared" si="6"/>
        <v>1012.5</v>
      </c>
      <c r="AS18" s="142">
        <f t="shared" si="38"/>
        <v>9.5193410593779895</v>
      </c>
      <c r="AT18" s="27">
        <f t="shared" si="7"/>
        <v>21.519341059377989</v>
      </c>
      <c r="AU18" s="32">
        <f t="shared" si="8"/>
        <v>0.44236210732993247</v>
      </c>
      <c r="AV18" s="131">
        <f t="shared" si="9"/>
        <v>0.55763789267006758</v>
      </c>
      <c r="AW18" s="28">
        <f t="shared" si="10"/>
        <v>2283.0634013866888</v>
      </c>
      <c r="AX18" s="258">
        <f t="shared" si="11"/>
        <v>12150</v>
      </c>
      <c r="AY18" s="80">
        <f>IF($B$29="d",Colony!J45,IF($B$29="n",Colony!J73,IF($B$29="p",Colony!J101,IF($B$29="a",Colony!J129,IF($B$29="b",Colony!J157,IF($B$29="c",Colony!J185,IF($B$29="r",Colony!J213,IF($B$29="s",Colony!J213,IF($B$29="f",Colony!J269,"error")))))))))</f>
        <v>0.05</v>
      </c>
      <c r="AZ18" s="106">
        <f t="shared" si="39"/>
        <v>3.2000000000000001E-2</v>
      </c>
      <c r="BA18" s="75">
        <f t="shared" si="40"/>
        <v>0.16</v>
      </c>
      <c r="BB18" s="102">
        <f t="shared" si="41"/>
        <v>8.9222062827210818E-2</v>
      </c>
      <c r="BC18" s="72">
        <f t="shared" si="12"/>
        <v>365.29014422187021</v>
      </c>
      <c r="BD18" s="73">
        <f t="shared" si="42"/>
        <v>0.93953226394513945</v>
      </c>
      <c r="BE18" s="369">
        <f t="shared" si="43"/>
        <v>0.60918941118199044</v>
      </c>
      <c r="BF18" s="370">
        <f t="shared" si="44"/>
        <v>1.5422662421564346</v>
      </c>
      <c r="BG18" s="73">
        <f t="shared" si="13"/>
        <v>24.519341059377989</v>
      </c>
      <c r="BH18" s="368">
        <v>1</v>
      </c>
      <c r="BI18" s="84">
        <f t="shared" si="14"/>
        <v>4.2749999999999995</v>
      </c>
      <c r="BJ18" s="78">
        <f t="shared" si="45"/>
        <v>9.8493837450082944E-2</v>
      </c>
      <c r="BK18" s="103">
        <f t="shared" si="46"/>
        <v>0.46841582984285679</v>
      </c>
      <c r="BL18" s="71">
        <f t="shared" si="47"/>
        <v>11761.199999999999</v>
      </c>
      <c r="BM18" s="71">
        <f t="shared" si="15"/>
        <v>1917.7732571648187</v>
      </c>
      <c r="BN18" s="74">
        <f t="shared" si="16"/>
        <v>0.16305931853593331</v>
      </c>
      <c r="BO18" s="366">
        <f t="shared" si="48"/>
        <v>0.15045920659615442</v>
      </c>
      <c r="BP18" s="368">
        <f t="shared" si="49"/>
        <v>1.0837371702778249</v>
      </c>
      <c r="BQ18" s="76">
        <f t="shared" si="17"/>
        <v>0.84</v>
      </c>
      <c r="BR18" s="74">
        <f t="shared" si="18"/>
        <v>21.519341059377989</v>
      </c>
      <c r="BS18" s="367">
        <v>1</v>
      </c>
      <c r="BT18" s="83">
        <f t="shared" si="50"/>
        <v>2.2586249999999999</v>
      </c>
      <c r="BU18" s="79">
        <f t="shared" si="19"/>
        <v>6.518049768398862E-2</v>
      </c>
      <c r="BV18" s="112">
        <f t="shared" si="20"/>
        <v>3.931940026528033E-2</v>
      </c>
      <c r="BW18" s="55">
        <f t="shared" si="21"/>
        <v>-6.0180723255630212E-3</v>
      </c>
      <c r="BX18" s="134">
        <f t="shared" si="22"/>
        <v>3.330132793971731E-2</v>
      </c>
      <c r="BY18" s="134"/>
      <c r="BZ18" s="391">
        <f t="shared" si="69"/>
        <v>4094.1683328853114</v>
      </c>
      <c r="CA18" s="242">
        <f t="shared" si="23"/>
        <v>2865.9178330197178</v>
      </c>
      <c r="CB18" s="242">
        <f t="shared" si="68"/>
        <v>2587.1493191232526</v>
      </c>
      <c r="CC18" s="149">
        <f t="shared" si="70"/>
        <v>2117.4432136649307</v>
      </c>
      <c r="CD18" s="17">
        <f t="shared" si="52"/>
        <v>6211.6115465502426</v>
      </c>
      <c r="CE18" s="269">
        <f t="shared" si="53"/>
        <v>543.2759978176673</v>
      </c>
      <c r="CF18" s="136">
        <f t="shared" si="24"/>
        <v>5668.3355487325753</v>
      </c>
      <c r="CG18" s="246">
        <f>IF($B$33=0,0, IF($B$33=1,Colony!AF18,IF($B$33=2,Colony!AG18,IF($B$33=3,Colony!AH18,IF($B$33=4,Colony!AI18,IF($B$33="X",Colony!AK18,"error"))))))</f>
        <v>130</v>
      </c>
      <c r="CH18" s="138">
        <f t="shared" si="54"/>
        <v>-418.32279140434986</v>
      </c>
      <c r="CI18" s="98">
        <f t="shared" si="62"/>
        <v>-288.32279140434986</v>
      </c>
      <c r="CJ18" s="268">
        <f t="shared" si="55"/>
        <v>5380.0127573282252</v>
      </c>
      <c r="CK18" s="136">
        <f t="shared" si="25"/>
        <v>0</v>
      </c>
      <c r="CL18" s="95">
        <f t="shared" si="26"/>
        <v>5380.0127573282252</v>
      </c>
      <c r="CM18" s="29">
        <f t="shared" si="56"/>
        <v>1.7959044957053465E-2</v>
      </c>
      <c r="CN18" s="274">
        <f t="shared" si="27"/>
        <v>40756</v>
      </c>
      <c r="CO18" s="89">
        <f t="shared" si="28"/>
        <v>1811.1049314986228</v>
      </c>
      <c r="CP18" s="21">
        <f t="shared" si="29"/>
        <v>3.6222098629972457E-2</v>
      </c>
      <c r="CQ18" s="146">
        <f t="shared" si="30"/>
        <v>11.409961068441325</v>
      </c>
      <c r="CR18" t="str">
        <f t="shared" si="67"/>
        <v/>
      </c>
      <c r="CS18" t="str">
        <f t="shared" si="63"/>
        <v/>
      </c>
      <c r="CT18">
        <f t="shared" si="64"/>
        <v>0</v>
      </c>
      <c r="CU18" s="17">
        <f t="shared" si="57"/>
        <v>15398.4375</v>
      </c>
      <c r="CV18" s="18">
        <f t="shared" si="58"/>
        <v>0</v>
      </c>
      <c r="CW18" s="267">
        <f t="shared" si="59"/>
        <v>15398.4375</v>
      </c>
      <c r="CX18" s="267">
        <f t="shared" si="65"/>
        <v>1012.5</v>
      </c>
      <c r="CY18" s="104">
        <f t="shared" si="60"/>
        <v>0.75</v>
      </c>
      <c r="CZ18" s="266">
        <f t="shared" si="61"/>
        <v>418.32279140434986</v>
      </c>
      <c r="DB18" s="17">
        <f t="shared" si="66"/>
        <v>2117.4432136649307</v>
      </c>
      <c r="DC18" s="165">
        <f>DQ$57</f>
        <v>896.47603562636459</v>
      </c>
      <c r="DD18" s="37">
        <f>DP$59</f>
        <v>0.11247605149986876</v>
      </c>
      <c r="DH18" s="2">
        <v>40756</v>
      </c>
      <c r="DI18" s="262">
        <v>43132</v>
      </c>
      <c r="DK18" s="251">
        <v>0.56000000000000005</v>
      </c>
    </row>
    <row r="19" spans="1:130" ht="12.75" customHeight="1" x14ac:dyDescent="0.2">
      <c r="A19" s="416"/>
      <c r="B19" s="442"/>
      <c r="C19" s="442"/>
      <c r="D19" s="442"/>
      <c r="E19" s="442"/>
      <c r="F19" s="442"/>
      <c r="G19" s="442"/>
      <c r="H19" s="442"/>
      <c r="I19" s="442"/>
      <c r="J19" s="442"/>
      <c r="K19" s="442"/>
      <c r="L19" s="442"/>
      <c r="M19" s="442"/>
      <c r="N19" s="442"/>
      <c r="O19" s="442"/>
      <c r="P19" s="442"/>
      <c r="Q19" s="442"/>
      <c r="R19" s="442"/>
      <c r="S19" s="442"/>
      <c r="T19" s="125"/>
      <c r="U19" s="2">
        <f t="shared" si="0"/>
        <v>40770</v>
      </c>
      <c r="V19" s="59">
        <f t="shared" si="31"/>
        <v>53800.127573282254</v>
      </c>
      <c r="W19" s="310">
        <f t="shared" si="32"/>
        <v>1.5259762156335706E-2</v>
      </c>
      <c r="X19" s="235">
        <f t="shared" si="33"/>
        <v>175</v>
      </c>
      <c r="Y19" s="123">
        <f t="shared" si="34"/>
        <v>16.987746620315495</v>
      </c>
      <c r="Z19" s="4">
        <f t="shared" si="1"/>
        <v>0.2146446670033213</v>
      </c>
      <c r="AA19" s="3">
        <f t="shared" si="2"/>
        <v>0.44105687076243161</v>
      </c>
      <c r="AB19" s="428" t="s">
        <v>5</v>
      </c>
      <c r="AC19" s="430" t="s">
        <v>146</v>
      </c>
      <c r="AD19" s="430"/>
      <c r="AE19" s="430"/>
      <c r="AF19" s="430"/>
      <c r="AG19" s="430"/>
      <c r="AI19" s="437"/>
      <c r="AJ19" s="274">
        <f t="shared" si="35"/>
        <v>40770</v>
      </c>
      <c r="AK19" s="394">
        <f>IF($B$29="d",Colony!H46,IF($B$29="n",Colony!H74,IF($B$29="p",Colony!H102,IF($B$29="a",Colony!H130,IF($B$29="b",Colony!H158,IF($B$29="c",Colony!H186,IF($B$29="r",Colony!H214,IF($B$29="s",Colony!H242,IF($B$29="f",Colony!H270,"error")))))))))</f>
        <v>22</v>
      </c>
      <c r="AL19">
        <f t="shared" si="3"/>
        <v>44000</v>
      </c>
      <c r="AM19" s="81">
        <f>IF($B$29="d",Colony!F46,IF($B$29="n",Colony!F74,IF($B$29="p",Colony!F102,IF($B$29="a",Colony!F130,IF($B$29="b",Colony!F158,IF($B$29="c",Colony!F186,IF($B$29="r",Colony!F214,IF($B$29="s",Colony!F242,IF($B$29="f",Colony!F270,"error")))))))))</f>
        <v>4</v>
      </c>
      <c r="AN19" s="17">
        <f t="shared" si="4"/>
        <v>18000</v>
      </c>
      <c r="AO19" s="21">
        <f t="shared" si="5"/>
        <v>0.40909090909090912</v>
      </c>
      <c r="AP19">
        <f t="shared" si="36"/>
        <v>10800</v>
      </c>
      <c r="AQ19" s="18">
        <f t="shared" si="37"/>
        <v>2318.1624036358699</v>
      </c>
      <c r="AR19" s="18">
        <f t="shared" si="6"/>
        <v>900</v>
      </c>
      <c r="AS19" s="142">
        <f t="shared" si="38"/>
        <v>9.4690893801104821</v>
      </c>
      <c r="AT19" s="27">
        <f t="shared" si="7"/>
        <v>21.469089380110482</v>
      </c>
      <c r="AU19" s="32">
        <f t="shared" si="8"/>
        <v>0.44105687076243161</v>
      </c>
      <c r="AV19" s="131">
        <f t="shared" si="9"/>
        <v>0.55894312923756839</v>
      </c>
      <c r="AW19" s="28">
        <f t="shared" si="10"/>
        <v>3007.1211659190767</v>
      </c>
      <c r="AX19" s="258">
        <f t="shared" si="11"/>
        <v>10800</v>
      </c>
      <c r="AY19" s="80">
        <f>IF($B$29="d",Colony!J46,IF($B$29="n",Colony!J74,IF($B$29="p",Colony!J102,IF($B$29="a",Colony!J130,IF($B$29="b",Colony!J158,IF($B$29="c",Colony!J186,IF($B$29="r",Colony!J214,IF($B$29="s",Colony!J214,IF($B$29="f",Colony!J270,"error")))))))))</f>
        <v>0.05</v>
      </c>
      <c r="AZ19" s="106">
        <f t="shared" si="39"/>
        <v>3.2000000000000001E-2</v>
      </c>
      <c r="BA19" s="75">
        <f t="shared" si="40"/>
        <v>0.16</v>
      </c>
      <c r="BB19" s="102">
        <f t="shared" si="41"/>
        <v>8.9430900678010947E-2</v>
      </c>
      <c r="BC19" s="72">
        <f t="shared" si="12"/>
        <v>481.13938654705225</v>
      </c>
      <c r="BD19" s="73">
        <f t="shared" si="42"/>
        <v>1.3921857249625353</v>
      </c>
      <c r="BE19" s="369">
        <f t="shared" si="43"/>
        <v>0.7514685109470719</v>
      </c>
      <c r="BF19" s="370">
        <f t="shared" si="44"/>
        <v>1.8526201759378724</v>
      </c>
      <c r="BG19" s="73">
        <f t="shared" si="13"/>
        <v>24.469089380110482</v>
      </c>
      <c r="BH19" s="368">
        <v>1</v>
      </c>
      <c r="BI19" s="84">
        <f t="shared" si="14"/>
        <v>4.2749999999999995</v>
      </c>
      <c r="BJ19" s="78">
        <f t="shared" si="45"/>
        <v>9.8493837450082944E-2</v>
      </c>
      <c r="BK19" s="103">
        <f t="shared" si="46"/>
        <v>0.46951222855955743</v>
      </c>
      <c r="BL19" s="71">
        <f t="shared" si="47"/>
        <v>10454.4</v>
      </c>
      <c r="BM19" s="71">
        <f t="shared" si="15"/>
        <v>2525.9817793720244</v>
      </c>
      <c r="BN19" s="74">
        <f t="shared" si="16"/>
        <v>0.24161901011746484</v>
      </c>
      <c r="BO19" s="366">
        <f t="shared" si="48"/>
        <v>0.2146446670033213</v>
      </c>
      <c r="BP19" s="368">
        <f t="shared" si="49"/>
        <v>1.1256645125462801</v>
      </c>
      <c r="BQ19" s="76">
        <f t="shared" si="17"/>
        <v>0.84</v>
      </c>
      <c r="BR19" s="74">
        <f t="shared" si="18"/>
        <v>21.469089380110482</v>
      </c>
      <c r="BS19" s="367">
        <v>1</v>
      </c>
      <c r="BT19" s="83">
        <f t="shared" si="50"/>
        <v>2.2586249999999999</v>
      </c>
      <c r="BU19" s="79">
        <f t="shared" si="19"/>
        <v>6.518049768398862E-2</v>
      </c>
      <c r="BV19" s="112">
        <f t="shared" si="20"/>
        <v>3.9411433320625092E-2</v>
      </c>
      <c r="BW19" s="55">
        <f t="shared" si="21"/>
        <v>-6.0180723255630212E-3</v>
      </c>
      <c r="BX19" s="134">
        <f t="shared" si="22"/>
        <v>3.3393360995062071E-2</v>
      </c>
      <c r="BY19" s="134"/>
      <c r="BZ19" s="391">
        <f t="shared" si="69"/>
        <v>5380.0127573282252</v>
      </c>
      <c r="CA19" s="242">
        <f t="shared" si="23"/>
        <v>3766.0089301297576</v>
      </c>
      <c r="CB19" s="242">
        <f t="shared" si="68"/>
        <v>3342.4231157555173</v>
      </c>
      <c r="CC19" s="149">
        <f t="shared" si="70"/>
        <v>2744.1075537607235</v>
      </c>
      <c r="CD19" s="17">
        <f t="shared" si="52"/>
        <v>8124.1203110889492</v>
      </c>
      <c r="CE19" s="269">
        <f t="shared" si="53"/>
        <v>710.54661665841559</v>
      </c>
      <c r="CF19" s="136">
        <f t="shared" si="24"/>
        <v>7413.5736944305336</v>
      </c>
      <c r="CG19" s="246">
        <f>IF($B$33=0,0, IF($B$33=1,Colony!AF19,IF($B$33=2,Colony!AG19,IF($B$33=3,Colony!AH19,IF($B$33=4,Colony!AI19,IF($B$33="X",Colony!AK19,"error"))))))</f>
        <v>175</v>
      </c>
      <c r="CH19" s="138">
        <f t="shared" si="54"/>
        <v>-803.22085443043079</v>
      </c>
      <c r="CI19" s="98">
        <f t="shared" si="62"/>
        <v>-628.22085443043079</v>
      </c>
      <c r="CJ19" s="268">
        <f t="shared" si="55"/>
        <v>6785.3528400001032</v>
      </c>
      <c r="CK19" s="136">
        <f t="shared" si="25"/>
        <v>0</v>
      </c>
      <c r="CL19" s="95">
        <f t="shared" si="26"/>
        <v>6785.3528400001032</v>
      </c>
      <c r="CM19" s="29">
        <f t="shared" si="56"/>
        <v>1.5259762156335706E-2</v>
      </c>
      <c r="CN19" s="274">
        <f t="shared" si="27"/>
        <v>40770</v>
      </c>
      <c r="CO19" s="89">
        <f t="shared" si="28"/>
        <v>2372.8915914091485</v>
      </c>
      <c r="CP19" s="21">
        <f t="shared" si="29"/>
        <v>5.3929354350207924E-2</v>
      </c>
      <c r="CQ19" s="146">
        <f t="shared" si="30"/>
        <v>16.987746620315495</v>
      </c>
      <c r="CR19" t="str">
        <f t="shared" si="67"/>
        <v/>
      </c>
      <c r="CS19" t="str">
        <f t="shared" si="63"/>
        <v/>
      </c>
      <c r="CT19">
        <f t="shared" si="64"/>
        <v>0</v>
      </c>
      <c r="CU19" s="17">
        <f t="shared" si="57"/>
        <v>13858.59375</v>
      </c>
      <c r="CV19" s="18">
        <f t="shared" si="58"/>
        <v>-6000</v>
      </c>
      <c r="CW19" s="267">
        <f t="shared" si="59"/>
        <v>19858.59375</v>
      </c>
      <c r="CX19" s="267">
        <f t="shared" si="65"/>
        <v>1305.7705479452054</v>
      </c>
      <c r="CY19" s="104">
        <f t="shared" si="60"/>
        <v>0.75</v>
      </c>
      <c r="CZ19" s="266">
        <f t="shared" si="61"/>
        <v>803.22085443043079</v>
      </c>
      <c r="DB19" s="17">
        <f t="shared" si="66"/>
        <v>2744.1075537607235</v>
      </c>
      <c r="DC19" s="165">
        <f>DR$57</f>
        <v>1303.4837283990103</v>
      </c>
      <c r="DD19" s="37">
        <f>DQ$59</f>
        <v>0.12825373901172968</v>
      </c>
      <c r="DF19" s="37"/>
      <c r="DH19" s="2">
        <v>40770</v>
      </c>
      <c r="DI19" s="262">
        <v>43146</v>
      </c>
      <c r="DL19">
        <v>13.23</v>
      </c>
    </row>
    <row r="20" spans="1:130" ht="12.75" customHeight="1" x14ac:dyDescent="0.2">
      <c r="A20" s="416"/>
      <c r="B20" s="277" t="s">
        <v>241</v>
      </c>
      <c r="C20" s="277"/>
      <c r="D20" s="277"/>
      <c r="E20" s="277"/>
      <c r="F20" s="277"/>
      <c r="G20" s="277"/>
      <c r="H20" s="277"/>
      <c r="I20" s="277"/>
      <c r="J20" s="277"/>
      <c r="K20" s="277"/>
      <c r="L20" s="277"/>
      <c r="M20" s="277"/>
      <c r="N20" s="277"/>
      <c r="O20" s="277"/>
      <c r="P20" s="277"/>
      <c r="Q20" s="277"/>
      <c r="R20" s="277"/>
      <c r="S20" s="278"/>
      <c r="T20" s="125"/>
      <c r="U20" s="2">
        <f t="shared" si="0"/>
        <v>40787</v>
      </c>
      <c r="V20" s="59">
        <f t="shared" si="31"/>
        <v>67853.528400001029</v>
      </c>
      <c r="W20" s="310">
        <f t="shared" si="32"/>
        <v>1.2877598329834572E-2</v>
      </c>
      <c r="X20" s="235">
        <f t="shared" si="33"/>
        <v>210</v>
      </c>
      <c r="Y20" s="123">
        <f t="shared" si="34"/>
        <v>24.712122825528514</v>
      </c>
      <c r="Z20" s="4">
        <f t="shared" si="1"/>
        <v>0.3172887508576705</v>
      </c>
      <c r="AA20" s="3">
        <f t="shared" si="2"/>
        <v>0.43935003028936037</v>
      </c>
      <c r="AB20" s="429"/>
      <c r="AC20" s="430"/>
      <c r="AD20" s="430"/>
      <c r="AE20" s="430"/>
      <c r="AF20" s="430"/>
      <c r="AG20" s="430"/>
      <c r="AI20" s="437"/>
      <c r="AJ20" s="274">
        <f t="shared" si="35"/>
        <v>40787</v>
      </c>
      <c r="AK20" s="394">
        <f>IF($B$29="d",Colony!H47,IF($B$29="n",Colony!H75,IF($B$29="p",Colony!H103,IF($B$29="a",Colony!H131,IF($B$29="b",Colony!H159,IF($B$29="c",Colony!H187,IF($B$29="r",Colony!H215,IF($B$29="s",Colony!H243,IF($B$29="f",Colony!H271,"error")))))))))</f>
        <v>19</v>
      </c>
      <c r="AL20">
        <f t="shared" si="3"/>
        <v>38000</v>
      </c>
      <c r="AM20" s="81">
        <f>IF($B$29="d",Colony!F47,IF($B$29="n",Colony!F75,IF($B$29="p",Colony!F103,IF($B$29="a",Colony!F131,IF($B$29="b",Colony!F159,IF($B$29="c",Colony!F187,IF($B$29="r",Colony!F215,IF($B$29="s",Colony!F243,IF($B$29="f",Colony!F271,"error")))))))))</f>
        <v>3.5</v>
      </c>
      <c r="AN20" s="17">
        <f t="shared" si="4"/>
        <v>15750</v>
      </c>
      <c r="AO20" s="21">
        <f t="shared" si="5"/>
        <v>0.41447368421052633</v>
      </c>
      <c r="AP20">
        <f t="shared" si="36"/>
        <v>9450</v>
      </c>
      <c r="AQ20" s="18">
        <f t="shared" si="37"/>
        <v>2998.3786956049862</v>
      </c>
      <c r="AR20" s="18">
        <f t="shared" si="6"/>
        <v>787.5</v>
      </c>
      <c r="AS20" s="142">
        <f t="shared" si="38"/>
        <v>9.4037289722737185</v>
      </c>
      <c r="AT20" s="27">
        <f t="shared" si="7"/>
        <v>21.403728972273719</v>
      </c>
      <c r="AU20" s="32">
        <f t="shared" si="8"/>
        <v>0.43935003028936037</v>
      </c>
      <c r="AV20" s="131">
        <f t="shared" si="9"/>
        <v>0.56064996971063963</v>
      </c>
      <c r="AW20" s="28">
        <f t="shared" si="10"/>
        <v>3804.2078642220604</v>
      </c>
      <c r="AX20" s="258">
        <f t="shared" si="11"/>
        <v>9450</v>
      </c>
      <c r="AY20" s="80">
        <f>IF($B$29="d",Colony!J47,IF($B$29="n",Colony!J75,IF($B$29="p",Colony!J103,IF($B$29="a",Colony!J131,IF($B$29="b",Colony!J159,IF($B$29="c",Colony!J187,IF($B$29="r",Colony!J215,IF($B$29="s",Colony!J215,IF($B$29="f",Colony!J271,"error")))))))))</f>
        <v>0.02</v>
      </c>
      <c r="AZ20" s="106">
        <f t="shared" si="39"/>
        <v>1.2800000000000001E-2</v>
      </c>
      <c r="BA20" s="75">
        <f t="shared" si="40"/>
        <v>6.4000000000000001E-2</v>
      </c>
      <c r="BB20" s="102">
        <f t="shared" si="41"/>
        <v>3.5881598061480939E-2</v>
      </c>
      <c r="BC20" s="72">
        <f t="shared" si="12"/>
        <v>243.46930331021187</v>
      </c>
      <c r="BD20" s="73">
        <f t="shared" si="42"/>
        <v>2.0128083937682857</v>
      </c>
      <c r="BE20" s="369">
        <f t="shared" si="43"/>
        <v>0.86638709039505002</v>
      </c>
      <c r="BF20" s="370">
        <f t="shared" si="44"/>
        <v>2.32322066670049</v>
      </c>
      <c r="BG20" s="73">
        <f t="shared" si="13"/>
        <v>24.403728972273719</v>
      </c>
      <c r="BH20" s="368">
        <v>1</v>
      </c>
      <c r="BI20" s="84">
        <f t="shared" si="14"/>
        <v>4.2749999999999995</v>
      </c>
      <c r="BJ20" s="78">
        <f t="shared" si="45"/>
        <v>9.8493837450082944E-2</v>
      </c>
      <c r="BK20" s="103">
        <f t="shared" si="46"/>
        <v>0.52476837164915868</v>
      </c>
      <c r="BL20" s="71">
        <f t="shared" si="47"/>
        <v>9329.0399999999991</v>
      </c>
      <c r="BM20" s="71">
        <f t="shared" si="15"/>
        <v>3560.7385609118487</v>
      </c>
      <c r="BN20" s="74">
        <f t="shared" si="16"/>
        <v>0.38168327726238166</v>
      </c>
      <c r="BO20" s="366">
        <f t="shared" si="48"/>
        <v>0.3172887508576705</v>
      </c>
      <c r="BP20" s="368">
        <f t="shared" si="49"/>
        <v>1.2029486493990056</v>
      </c>
      <c r="BQ20" s="76">
        <f t="shared" si="17"/>
        <v>0.93599999999999994</v>
      </c>
      <c r="BR20" s="74">
        <f t="shared" si="18"/>
        <v>21.403728972273719</v>
      </c>
      <c r="BS20" s="367">
        <v>1</v>
      </c>
      <c r="BT20" s="83">
        <f t="shared" si="50"/>
        <v>2.2586249999999999</v>
      </c>
      <c r="BU20" s="79">
        <f t="shared" si="19"/>
        <v>6.518049768398862E-2</v>
      </c>
      <c r="BV20" s="112">
        <f t="shared" si="20"/>
        <v>3.7738779919825181E-2</v>
      </c>
      <c r="BW20" s="55">
        <f t="shared" si="21"/>
        <v>-6.0180723255630212E-3</v>
      </c>
      <c r="BX20" s="134">
        <f t="shared" si="22"/>
        <v>3.1720707594262161E-2</v>
      </c>
      <c r="BY20" s="134"/>
      <c r="BZ20" s="391">
        <f t="shared" si="69"/>
        <v>6785.3528400001032</v>
      </c>
      <c r="CA20" s="242">
        <f t="shared" si="23"/>
        <v>4749.7469880000717</v>
      </c>
      <c r="CB20" s="242">
        <f t="shared" si="68"/>
        <v>4140.574177429362</v>
      </c>
      <c r="CC20" s="149">
        <f t="shared" si="70"/>
        <v>3209.9998785922817</v>
      </c>
      <c r="CD20" s="17">
        <f t="shared" si="52"/>
        <v>9995.3527185923849</v>
      </c>
      <c r="CE20" s="269">
        <f t="shared" si="53"/>
        <v>874.20714914934069</v>
      </c>
      <c r="CF20" s="136">
        <f t="shared" si="24"/>
        <v>9121.1455694430442</v>
      </c>
      <c r="CG20" s="246">
        <f>IF($B$33=0,0, IF($B$33=1,Colony!AF20,IF($B$33=2,Colony!AG20,IF($B$33=3,Colony!AH20,IF($B$33=4,Colony!AI20,IF($B$33="X",Colony!AK20,"error"))))))</f>
        <v>210</v>
      </c>
      <c r="CH20" s="138">
        <f t="shared" si="54"/>
        <v>-1077.8457143098819</v>
      </c>
      <c r="CI20" s="98">
        <f t="shared" si="62"/>
        <v>-867.84571430988194</v>
      </c>
      <c r="CJ20" s="268">
        <f t="shared" si="55"/>
        <v>8253.2998551331621</v>
      </c>
      <c r="CK20" s="136">
        <f t="shared" si="25"/>
        <v>0</v>
      </c>
      <c r="CL20" s="95">
        <f t="shared" si="26"/>
        <v>8253.2998551331621</v>
      </c>
      <c r="CM20" s="29">
        <f t="shared" si="56"/>
        <v>1.2877598329834572E-2</v>
      </c>
      <c r="CN20" s="274">
        <f t="shared" si="27"/>
        <v>40787</v>
      </c>
      <c r="CO20" s="89">
        <f t="shared" si="28"/>
        <v>2981.1449757780429</v>
      </c>
      <c r="CP20" s="21">
        <f t="shared" si="29"/>
        <v>7.8451183573106389E-2</v>
      </c>
      <c r="CQ20" s="146">
        <f t="shared" si="30"/>
        <v>24.712122825528514</v>
      </c>
      <c r="CR20" t="str">
        <f t="shared" si="67"/>
        <v/>
      </c>
      <c r="CS20" t="str">
        <f t="shared" si="63"/>
        <v/>
      </c>
      <c r="CT20">
        <f t="shared" si="64"/>
        <v>0</v>
      </c>
      <c r="CU20" s="17">
        <f t="shared" si="57"/>
        <v>12318.75</v>
      </c>
      <c r="CV20" s="18">
        <f t="shared" si="58"/>
        <v>-6000</v>
      </c>
      <c r="CW20" s="267">
        <f t="shared" si="59"/>
        <v>18318.75</v>
      </c>
      <c r="CX20" s="267">
        <f t="shared" si="65"/>
        <v>1204.5205479452054</v>
      </c>
      <c r="CY20" s="104">
        <f t="shared" si="60"/>
        <v>0.75</v>
      </c>
      <c r="CZ20" s="266">
        <f t="shared" si="61"/>
        <v>1077.8457143098819</v>
      </c>
      <c r="DB20" s="17">
        <f t="shared" si="66"/>
        <v>3209.9998785922817</v>
      </c>
      <c r="DC20" s="165">
        <f>DS$57</f>
        <v>1845.7580199410261</v>
      </c>
      <c r="DD20" s="37">
        <f>DR$59</f>
        <v>0.14275945755215946</v>
      </c>
      <c r="DH20" s="2">
        <v>40787</v>
      </c>
      <c r="DI20" s="262">
        <v>43160</v>
      </c>
    </row>
    <row r="21" spans="1:130" ht="12.75" customHeight="1" x14ac:dyDescent="0.2">
      <c r="B21" s="439" t="s">
        <v>349</v>
      </c>
      <c r="C21" s="439"/>
      <c r="D21" s="439"/>
      <c r="E21" s="439"/>
      <c r="F21" s="439"/>
      <c r="G21" s="439"/>
      <c r="H21" s="439"/>
      <c r="I21" s="439"/>
      <c r="J21" s="439"/>
      <c r="K21" s="439"/>
      <c r="L21" s="439"/>
      <c r="M21" s="439"/>
      <c r="N21" s="439"/>
      <c r="O21" s="439"/>
      <c r="P21" s="439"/>
      <c r="Q21" s="439"/>
      <c r="R21" s="439"/>
      <c r="S21" s="440"/>
      <c r="T21" s="125"/>
      <c r="U21" s="2">
        <f t="shared" si="0"/>
        <v>40801</v>
      </c>
      <c r="V21" s="59">
        <f t="shared" si="31"/>
        <v>82532.998551331621</v>
      </c>
      <c r="W21" s="310">
        <f t="shared" si="32"/>
        <v>1.4506275881749735E-2</v>
      </c>
      <c r="X21" s="235">
        <f t="shared" si="33"/>
        <v>180</v>
      </c>
      <c r="Y21" s="123">
        <f t="shared" si="34"/>
        <v>32.195282474615269</v>
      </c>
      <c r="Z21" s="4">
        <f t="shared" si="1"/>
        <v>0.35430649200357789</v>
      </c>
      <c r="AA21" s="3">
        <f t="shared" si="2"/>
        <v>0.39628172098980846</v>
      </c>
      <c r="AB21" s="441" t="s">
        <v>341</v>
      </c>
      <c r="AC21" s="430" t="s">
        <v>159</v>
      </c>
      <c r="AD21" s="430"/>
      <c r="AE21" s="430"/>
      <c r="AF21" s="430"/>
      <c r="AG21" s="430"/>
      <c r="AI21" s="437"/>
      <c r="AJ21" s="274">
        <f t="shared" si="35"/>
        <v>40801</v>
      </c>
      <c r="AK21" s="394">
        <f>IF($B$29="d",Colony!H48,IF($B$29="n",Colony!H76,IF($B$29="p",Colony!H104,IF($B$29="a",Colony!H132,IF($B$29="b",Colony!H160,IF($B$29="c",Colony!H188,IF($B$29="r",Colony!H216,IF($B$29="s",Colony!H244,IF($B$29="f",Colony!H272,"error")))))))))</f>
        <v>16</v>
      </c>
      <c r="AL21">
        <f t="shared" si="3"/>
        <v>32000</v>
      </c>
      <c r="AM21" s="81">
        <f>IF($B$29="d",Colony!F48,IF($B$29="n",Colony!F76,IF($B$29="p",Colony!F104,IF($B$29="a",Colony!F132,IF($B$29="b",Colony!F160,IF($B$29="c",Colony!F188,IF($B$29="r",Colony!F216,IF($B$29="s",Colony!F244,IF($B$29="f",Colony!F272,"error")))))))))</f>
        <v>4</v>
      </c>
      <c r="AN21" s="17">
        <f t="shared" si="4"/>
        <v>18000</v>
      </c>
      <c r="AO21" s="21">
        <f t="shared" si="5"/>
        <v>0.5625</v>
      </c>
      <c r="AP21">
        <f t="shared" si="36"/>
        <v>10800</v>
      </c>
      <c r="AQ21" s="18">
        <f t="shared" si="37"/>
        <v>3826.5101136386411</v>
      </c>
      <c r="AR21" s="18">
        <f t="shared" si="6"/>
        <v>900</v>
      </c>
      <c r="AS21" s="142">
        <f t="shared" si="38"/>
        <v>7.8768207245178088</v>
      </c>
      <c r="AT21" s="27">
        <f t="shared" si="7"/>
        <v>19.87682072451781</v>
      </c>
      <c r="AU21" s="32">
        <f t="shared" si="8"/>
        <v>0.39628172098980846</v>
      </c>
      <c r="AV21" s="131">
        <f t="shared" si="9"/>
        <v>0.60371827901019159</v>
      </c>
      <c r="AW21" s="28">
        <f t="shared" si="10"/>
        <v>4982.667984696056</v>
      </c>
      <c r="AX21" s="258">
        <f t="shared" si="11"/>
        <v>10800</v>
      </c>
      <c r="AY21" s="80">
        <f>IF($B$29="d",Colony!J48,IF($B$29="n",Colony!J76,IF($B$29="p",Colony!J104,IF($B$29="a",Colony!J132,IF($B$29="b",Colony!J160,IF($B$29="c",Colony!J188,IF($B$29="r",Colony!J216,IF($B$29="s",Colony!J216,IF($B$29="f",Colony!J272,"error")))))))))</f>
        <v>0.02</v>
      </c>
      <c r="AZ21" s="106">
        <f t="shared" si="39"/>
        <v>1.2800000000000001E-2</v>
      </c>
      <c r="BA21" s="75">
        <f t="shared" si="40"/>
        <v>6.4000000000000001E-2</v>
      </c>
      <c r="BB21" s="102">
        <f t="shared" si="41"/>
        <v>3.8637969856652264E-2</v>
      </c>
      <c r="BC21" s="72">
        <f t="shared" si="12"/>
        <v>318.89075102054761</v>
      </c>
      <c r="BD21" s="73">
        <f t="shared" si="42"/>
        <v>2.3067907336555815</v>
      </c>
      <c r="BE21" s="369">
        <f t="shared" si="43"/>
        <v>0.90041968093396418</v>
      </c>
      <c r="BF21" s="370">
        <f t="shared" si="44"/>
        <v>2.5619061672028902</v>
      </c>
      <c r="BG21" s="73">
        <f t="shared" si="13"/>
        <v>22.87682072451781</v>
      </c>
      <c r="BH21" s="368">
        <v>1</v>
      </c>
      <c r="BI21" s="84">
        <f t="shared" si="14"/>
        <v>4.2749999999999995</v>
      </c>
      <c r="BJ21" s="78">
        <f t="shared" si="45"/>
        <v>9.8493837450082944E-2</v>
      </c>
      <c r="BK21" s="103">
        <f t="shared" si="46"/>
        <v>0.56508030915353935</v>
      </c>
      <c r="BL21" s="71">
        <f t="shared" si="47"/>
        <v>10661.76</v>
      </c>
      <c r="BM21" s="71">
        <f t="shared" si="15"/>
        <v>4663.7772336755088</v>
      </c>
      <c r="BN21" s="74">
        <f t="shared" si="16"/>
        <v>0.43743033361053979</v>
      </c>
      <c r="BO21" s="366">
        <f t="shared" si="48"/>
        <v>0.35430649200357789</v>
      </c>
      <c r="BP21" s="368">
        <f t="shared" si="49"/>
        <v>1.2346065027778823</v>
      </c>
      <c r="BQ21" s="76">
        <f t="shared" si="17"/>
        <v>0.93599999999999994</v>
      </c>
      <c r="BR21" s="74">
        <f t="shared" si="18"/>
        <v>19.87682072451781</v>
      </c>
      <c r="BS21" s="367">
        <v>1</v>
      </c>
      <c r="BT21" s="83">
        <f t="shared" si="50"/>
        <v>2.2586249999999999</v>
      </c>
      <c r="BU21" s="79">
        <f t="shared" si="19"/>
        <v>6.518049768398862E-2</v>
      </c>
      <c r="BV21" s="112">
        <f t="shared" si="20"/>
        <v>4.0637817704512157E-2</v>
      </c>
      <c r="BW21" s="55">
        <f t="shared" si="21"/>
        <v>-6.0180723255630212E-3</v>
      </c>
      <c r="BX21" s="134">
        <f t="shared" si="22"/>
        <v>3.4619745378949136E-2</v>
      </c>
      <c r="BY21" s="134"/>
      <c r="BZ21" s="391">
        <f t="shared" si="69"/>
        <v>8253.2998551331621</v>
      </c>
      <c r="CA21" s="242">
        <f t="shared" si="23"/>
        <v>5777.3098985932129</v>
      </c>
      <c r="CB21" s="242">
        <f t="shared" si="68"/>
        <v>4952.5442713593247</v>
      </c>
      <c r="CC21" s="149">
        <f t="shared" si="70"/>
        <v>4235.7923050955424</v>
      </c>
      <c r="CD21" s="17">
        <f t="shared" si="52"/>
        <v>12489.092160228705</v>
      </c>
      <c r="CE21" s="269">
        <f t="shared" si="53"/>
        <v>1092.3129938724633</v>
      </c>
      <c r="CF21" s="136">
        <f t="shared" si="24"/>
        <v>11396.779166356242</v>
      </c>
      <c r="CG21" s="246">
        <f>IF($B$33=0,0, IF($B$33=1,Colony!AF21,IF($B$33=2,Colony!AG21,IF($B$33=3,Colony!AH21,IF($B$33=4,Colony!AI21,IF($B$33="X",Colony!AK21,"error"))))))</f>
        <v>180</v>
      </c>
      <c r="CH21" s="138">
        <f t="shared" si="54"/>
        <v>-1286.194348413899</v>
      </c>
      <c r="CI21" s="98">
        <f t="shared" si="62"/>
        <v>-1106.194348413899</v>
      </c>
      <c r="CJ21" s="268">
        <f t="shared" si="55"/>
        <v>10290.584817942343</v>
      </c>
      <c r="CK21" s="136">
        <f t="shared" si="25"/>
        <v>0</v>
      </c>
      <c r="CL21" s="95">
        <f t="shared" si="26"/>
        <v>10290.584817942343</v>
      </c>
      <c r="CM21" s="29">
        <f t="shared" si="56"/>
        <v>1.4506275881749735E-2</v>
      </c>
      <c r="CN21" s="274">
        <f t="shared" si="27"/>
        <v>40801</v>
      </c>
      <c r="CO21" s="89">
        <f t="shared" si="28"/>
        <v>3270.6318704371065</v>
      </c>
      <c r="CP21" s="21">
        <f t="shared" si="29"/>
        <v>0.10220724595115958</v>
      </c>
      <c r="CQ21" s="146">
        <f t="shared" si="30"/>
        <v>32.195282474615269</v>
      </c>
      <c r="CR21" t="str">
        <f t="shared" si="67"/>
        <v/>
      </c>
      <c r="CS21" t="str">
        <f t="shared" si="63"/>
        <v/>
      </c>
      <c r="CT21">
        <f t="shared" si="64"/>
        <v>0</v>
      </c>
      <c r="CU21" s="17">
        <f t="shared" si="57"/>
        <v>10778.90625</v>
      </c>
      <c r="CV21" s="18">
        <f t="shared" si="58"/>
        <v>-6000</v>
      </c>
      <c r="CW21" s="267">
        <f t="shared" si="59"/>
        <v>16778.90625</v>
      </c>
      <c r="CX21" s="267">
        <f t="shared" si="65"/>
        <v>1103.2705479452054</v>
      </c>
      <c r="CY21" s="104">
        <f t="shared" si="60"/>
        <v>0.75</v>
      </c>
      <c r="CZ21" s="266">
        <f t="shared" si="61"/>
        <v>1286.194348413899</v>
      </c>
      <c r="DB21" s="17">
        <f t="shared" si="66"/>
        <v>4235.7923050955424</v>
      </c>
      <c r="DC21" s="165">
        <f>DT$57</f>
        <v>2543.5430517046957</v>
      </c>
      <c r="DD21" s="37">
        <f>DS$59</f>
        <v>0.15977123506880975</v>
      </c>
      <c r="DH21" s="2">
        <v>40801</v>
      </c>
      <c r="DI21" s="262">
        <v>43174</v>
      </c>
      <c r="DL21">
        <v>19.53</v>
      </c>
    </row>
    <row r="22" spans="1:130" ht="12.6" customHeight="1" x14ac:dyDescent="0.2">
      <c r="A22" s="298"/>
      <c r="B22" s="439"/>
      <c r="C22" s="439"/>
      <c r="D22" s="439"/>
      <c r="E22" s="439"/>
      <c r="F22" s="439"/>
      <c r="G22" s="439"/>
      <c r="H22" s="439"/>
      <c r="I22" s="439"/>
      <c r="J22" s="439"/>
      <c r="K22" s="439"/>
      <c r="L22" s="439"/>
      <c r="M22" s="439"/>
      <c r="N22" s="439"/>
      <c r="O22" s="439"/>
      <c r="P22" s="439"/>
      <c r="Q22" s="439"/>
      <c r="R22" s="439"/>
      <c r="S22" s="440"/>
      <c r="T22" s="125"/>
      <c r="U22" s="2">
        <f t="shared" si="0"/>
        <v>40817</v>
      </c>
      <c r="V22" s="59" t="str">
        <f t="shared" si="31"/>
        <v/>
      </c>
      <c r="W22" s="310" t="str">
        <f t="shared" si="32"/>
        <v/>
      </c>
      <c r="X22" s="235" t="str">
        <f t="shared" si="33"/>
        <v/>
      </c>
      <c r="Y22" s="123" t="str">
        <f t="shared" si="34"/>
        <v/>
      </c>
      <c r="Z22" s="4" t="str">
        <f t="shared" si="1"/>
        <v/>
      </c>
      <c r="AA22" s="3" t="str">
        <f t="shared" si="2"/>
        <v/>
      </c>
      <c r="AB22" s="441"/>
      <c r="AC22" s="430"/>
      <c r="AD22" s="430"/>
      <c r="AE22" s="430"/>
      <c r="AF22" s="430"/>
      <c r="AG22" s="430"/>
      <c r="AI22" s="437"/>
      <c r="AJ22" s="274">
        <f t="shared" si="35"/>
        <v>40817</v>
      </c>
      <c r="AK22" s="394">
        <f>IF($B$29="d",Colony!H49,IF($B$29="n",Colony!H77,IF($B$29="p",Colony!H105,IF($B$29="a",Colony!H133,IF($B$29="b",Colony!H161,IF($B$29="c",Colony!H189,IF($B$29="r",Colony!H217,IF($B$29="s",Colony!H245,IF($B$29="f",Colony!H273,"error")))))))))</f>
        <v>15</v>
      </c>
      <c r="AL22">
        <f t="shared" si="3"/>
        <v>30000</v>
      </c>
      <c r="AM22" s="81">
        <f>IF($B$29="d",Colony!F49,IF($B$29="n",Colony!F77,IF($B$29="p",Colony!F105,IF($B$29="a",Colony!F133,IF($B$29="b",Colony!F161,IF($B$29="c",Colony!F189,IF($B$29="r",Colony!F217,IF($B$29="s",Colony!F245,IF($B$29="f",Colony!F273,"error")))))))))</f>
        <v>2</v>
      </c>
      <c r="AN22" s="17">
        <f t="shared" si="4"/>
        <v>9000</v>
      </c>
      <c r="AO22" s="21">
        <f t="shared" si="5"/>
        <v>0.3</v>
      </c>
      <c r="AP22">
        <f t="shared" si="36"/>
        <v>5400</v>
      </c>
      <c r="AQ22" s="18">
        <f t="shared" si="37"/>
        <v>3400.299328467835</v>
      </c>
      <c r="AR22" s="18">
        <f t="shared" si="6"/>
        <v>450</v>
      </c>
      <c r="AS22" s="142">
        <f t="shared" si="38"/>
        <v>11.019864021629679</v>
      </c>
      <c r="AT22" s="27">
        <f t="shared" si="7"/>
        <v>23.019864021629679</v>
      </c>
      <c r="AU22" s="32">
        <f t="shared" si="8"/>
        <v>0.47871108236240284</v>
      </c>
      <c r="AV22" s="131">
        <f t="shared" si="9"/>
        <v>0.52128891763759722</v>
      </c>
      <c r="AW22" s="28">
        <f t="shared" si="10"/>
        <v>5364.3678216030539</v>
      </c>
      <c r="AX22" s="258">
        <f t="shared" si="11"/>
        <v>5400</v>
      </c>
      <c r="AY22" s="80">
        <f>IF($B$29="d",Colony!J49,IF($B$29="n",Colony!J77,IF($B$29="p",Colony!J105,IF($B$29="a",Colony!J133,IF($B$29="b",Colony!J161,IF($B$29="c",Colony!J189,IF($B$29="r",Colony!J217,IF($B$29="s",Colony!J217,IF($B$29="f",Colony!J273,"error")))))))))</f>
        <v>0</v>
      </c>
      <c r="AZ22" s="106">
        <f t="shared" si="39"/>
        <v>0</v>
      </c>
      <c r="BA22" s="75">
        <f t="shared" si="40"/>
        <v>0</v>
      </c>
      <c r="BB22" s="102">
        <f t="shared" si="41"/>
        <v>0</v>
      </c>
      <c r="BC22" s="72">
        <f t="shared" si="12"/>
        <v>0</v>
      </c>
      <c r="BD22" s="73">
        <f t="shared" si="42"/>
        <v>0</v>
      </c>
      <c r="BE22" s="369">
        <f t="shared" si="43"/>
        <v>0</v>
      </c>
      <c r="BF22" s="370">
        <f t="shared" si="44"/>
        <v>0</v>
      </c>
      <c r="BG22" s="73">
        <f t="shared" si="13"/>
        <v>26.019864021629679</v>
      </c>
      <c r="BH22" s="368">
        <v>1</v>
      </c>
      <c r="BI22" s="84">
        <f t="shared" si="14"/>
        <v>4.2749999999999995</v>
      </c>
      <c r="BJ22" s="78">
        <f t="shared" si="45"/>
        <v>9.8493837450082944E-2</v>
      </c>
      <c r="BK22" s="103">
        <f t="shared" si="46"/>
        <v>0.52128891763759722</v>
      </c>
      <c r="BL22" s="71">
        <f t="shared" si="47"/>
        <v>5400</v>
      </c>
      <c r="BM22" s="71">
        <f t="shared" si="15"/>
        <v>5364.3678216030539</v>
      </c>
      <c r="BN22" s="74">
        <f t="shared" si="16"/>
        <v>0.99340144844500999</v>
      </c>
      <c r="BO22" s="366">
        <f t="shared" si="48"/>
        <v>0.62968506082737685</v>
      </c>
      <c r="BP22" s="368">
        <f t="shared" si="49"/>
        <v>1.5776138463978839</v>
      </c>
      <c r="BQ22" s="76">
        <f t="shared" si="17"/>
        <v>1</v>
      </c>
      <c r="BR22" s="74">
        <f t="shared" si="18"/>
        <v>23.019864021629679</v>
      </c>
      <c r="BS22" s="367">
        <v>1</v>
      </c>
      <c r="BT22" s="83">
        <f t="shared" si="50"/>
        <v>2.2586249999999999</v>
      </c>
      <c r="BU22" s="79">
        <f t="shared" si="19"/>
        <v>6.518049768398862E-2</v>
      </c>
      <c r="BV22" s="112">
        <f t="shared" si="20"/>
        <v>3.3977871088766341E-2</v>
      </c>
      <c r="BW22" s="55">
        <f t="shared" si="21"/>
        <v>-6.0180723255630212E-3</v>
      </c>
      <c r="BX22" s="134">
        <f t="shared" si="22"/>
        <v>2.7959798763203321E-2</v>
      </c>
      <c r="BY22" s="134"/>
      <c r="BZ22" s="391">
        <f t="shared" si="69"/>
        <v>10290.584817942343</v>
      </c>
      <c r="CA22" s="242">
        <f t="shared" si="23"/>
        <v>7203.4093725596395</v>
      </c>
      <c r="CB22" s="242">
        <f t="shared" si="68"/>
        <v>6052.5117603995459</v>
      </c>
      <c r="CC22" s="149">
        <f t="shared" si="70"/>
        <v>4094.9149001997957</v>
      </c>
      <c r="CD22" s="17">
        <f t="shared" si="52"/>
        <v>14385.499718142139</v>
      </c>
      <c r="CE22" s="269">
        <f t="shared" si="53"/>
        <v>1258.1753792733289</v>
      </c>
      <c r="CF22" s="136">
        <f t="shared" si="24"/>
        <v>13127.32433886881</v>
      </c>
      <c r="CG22" s="246">
        <f>IF($B$33=0,0, IF($B$33=1,Colony!AF22,IF($B$33=2,Colony!AG22,IF($B$33=3,Colony!AH22,IF($B$33=4,Colony!AI22,IF($B$33="X",Colony!AK22,"error"))))))</f>
        <v>130</v>
      </c>
      <c r="CH22" s="138">
        <f t="shared" si="54"/>
        <v>-2351.2423205444402</v>
      </c>
      <c r="CI22" s="98">
        <f t="shared" si="62"/>
        <v>-2221.2423205444402</v>
      </c>
      <c r="CJ22" s="268">
        <f t="shared" si="55"/>
        <v>10906.08201832437</v>
      </c>
      <c r="CK22" s="136">
        <f t="shared" si="25"/>
        <v>0</v>
      </c>
      <c r="CL22" s="95">
        <f t="shared" si="26"/>
        <v>10906.08201832437</v>
      </c>
      <c r="CM22" s="29">
        <f t="shared" si="56"/>
        <v>3.8196976505772548E-3</v>
      </c>
      <c r="CN22" s="274">
        <f t="shared" si="27"/>
        <v>40817</v>
      </c>
      <c r="CO22" s="89">
        <f t="shared" si="28"/>
        <v>4926.2169963392889</v>
      </c>
      <c r="CP22" s="21">
        <f t="shared" si="29"/>
        <v>0.16420723321130964</v>
      </c>
      <c r="CQ22" s="146">
        <f t="shared" si="30"/>
        <v>51.725278461562539</v>
      </c>
      <c r="CR22">
        <f t="shared" si="67"/>
        <v>100</v>
      </c>
      <c r="CS22" t="str">
        <f t="shared" si="63"/>
        <v/>
      </c>
      <c r="CT22">
        <f t="shared" si="64"/>
        <v>100</v>
      </c>
      <c r="CU22" s="17">
        <f t="shared" si="57"/>
        <v>12318.75</v>
      </c>
      <c r="CV22" s="18">
        <f t="shared" si="58"/>
        <v>-2000</v>
      </c>
      <c r="CW22" s="267">
        <f t="shared" si="59"/>
        <v>14318.75</v>
      </c>
      <c r="CX22" s="267">
        <f t="shared" si="65"/>
        <v>941.50684931506851</v>
      </c>
      <c r="CY22" s="104">
        <f t="shared" si="60"/>
        <v>1</v>
      </c>
      <c r="CZ22" s="266">
        <f t="shared" si="61"/>
        <v>2351.2423205444402</v>
      </c>
      <c r="DB22" s="17">
        <f t="shared" si="66"/>
        <v>4094.9149001997957</v>
      </c>
      <c r="DC22" s="165">
        <f>DU$57</f>
        <v>3395.6877007494927</v>
      </c>
      <c r="DD22" s="37">
        <f>DT$59</f>
        <v>0.17196413421480991</v>
      </c>
      <c r="DH22" s="2">
        <v>40817</v>
      </c>
      <c r="DI22" s="262">
        <v>43191</v>
      </c>
    </row>
    <row r="23" spans="1:130" ht="12.6" customHeight="1" x14ac:dyDescent="0.2">
      <c r="A23" s="298"/>
      <c r="B23" s="439"/>
      <c r="C23" s="439"/>
      <c r="D23" s="439"/>
      <c r="E23" s="439"/>
      <c r="F23" s="439"/>
      <c r="G23" s="439"/>
      <c r="H23" s="439"/>
      <c r="I23" s="439"/>
      <c r="J23" s="439"/>
      <c r="K23" s="439"/>
      <c r="L23" s="439"/>
      <c r="M23" s="439"/>
      <c r="N23" s="439"/>
      <c r="O23" s="439"/>
      <c r="P23" s="439"/>
      <c r="Q23" s="439"/>
      <c r="R23" s="439"/>
      <c r="S23" s="440"/>
      <c r="T23" s="125"/>
      <c r="U23" s="2">
        <f t="shared" si="0"/>
        <v>40831</v>
      </c>
      <c r="V23" s="59" t="str">
        <f t="shared" si="31"/>
        <v/>
      </c>
      <c r="W23" s="310" t="str">
        <f t="shared" si="32"/>
        <v/>
      </c>
      <c r="X23" s="235" t="str">
        <f t="shared" si="33"/>
        <v/>
      </c>
      <c r="Y23" s="123" t="str">
        <f t="shared" si="34"/>
        <v/>
      </c>
      <c r="Z23" s="4" t="str">
        <f t="shared" si="1"/>
        <v/>
      </c>
      <c r="AA23" s="3" t="str">
        <f t="shared" si="2"/>
        <v/>
      </c>
      <c r="AG23" s="37"/>
      <c r="AI23" s="437"/>
      <c r="AJ23" s="274">
        <f t="shared" si="35"/>
        <v>40831</v>
      </c>
      <c r="AK23" s="394">
        <f>IF($B$29="d",Colony!H50,IF($B$29="n",Colony!H78,IF($B$29="p",Colony!H106,IF($B$29="a",Colony!H134,IF($B$29="b",Colony!H162,IF($B$29="c",Colony!H190,IF($B$29="r",Colony!H218,IF($B$29="s",Colony!H246,IF($B$29="f",Colony!H274,"error")))))))))</f>
        <v>12</v>
      </c>
      <c r="AL23">
        <f t="shared" si="3"/>
        <v>24000</v>
      </c>
      <c r="AM23" s="81">
        <f>IF($B$29="d",Colony!F50,IF($B$29="n",Colony!F78,IF($B$29="p",Colony!F106,IF($B$29="a",Colony!F134,IF($B$29="b",Colony!F162,IF($B$29="c",Colony!F190,IF($B$29="r",Colony!F218,IF($B$29="s",Colony!F246,IF($B$29="f",Colony!F274,"error")))))))))</f>
        <v>0.5</v>
      </c>
      <c r="AN23" s="17">
        <f t="shared" si="4"/>
        <v>2250</v>
      </c>
      <c r="AO23" s="21">
        <f t="shared" si="5"/>
        <v>9.375E-2</v>
      </c>
      <c r="AP23">
        <f t="shared" si="36"/>
        <v>1350</v>
      </c>
      <c r="AQ23" s="18">
        <f t="shared" si="37"/>
        <v>1303.1972020365249</v>
      </c>
      <c r="AR23" s="18">
        <f t="shared" si="6"/>
        <v>112.5</v>
      </c>
      <c r="AS23" s="142">
        <f t="shared" si="38"/>
        <v>16.835618070658086</v>
      </c>
      <c r="AT23" s="27">
        <f t="shared" si="7"/>
        <v>28.835618070658086</v>
      </c>
      <c r="AU23" s="32">
        <f t="shared" si="8"/>
        <v>0.58384800455480101</v>
      </c>
      <c r="AV23" s="131">
        <f t="shared" si="9"/>
        <v>0.41615199544519899</v>
      </c>
      <c r="AW23" s="28">
        <f t="shared" si="10"/>
        <v>4538.5877944146896</v>
      </c>
      <c r="AX23" s="258">
        <f t="shared" si="11"/>
        <v>1350</v>
      </c>
      <c r="AY23" s="80">
        <f>IF($B$29="d",Colony!J50,IF($B$29="n",Colony!J78,IF($B$29="p",Colony!J106,IF($B$29="a",Colony!J134,IF($B$29="b",Colony!J162,IF($B$29="c",Colony!J190,IF($B$29="r",Colony!J218,IF($B$29="s",Colony!J218,IF($B$29="f",Colony!J274,"error")))))))))</f>
        <v>0</v>
      </c>
      <c r="AZ23" s="106">
        <f t="shared" si="39"/>
        <v>0</v>
      </c>
      <c r="BA23" s="75">
        <f t="shared" si="40"/>
        <v>0</v>
      </c>
      <c r="BB23" s="102">
        <f t="shared" si="41"/>
        <v>0</v>
      </c>
      <c r="BC23" s="72">
        <f t="shared" si="12"/>
        <v>0</v>
      </c>
      <c r="BD23" s="73">
        <f t="shared" si="42"/>
        <v>0</v>
      </c>
      <c r="BE23" s="369">
        <f t="shared" si="43"/>
        <v>0</v>
      </c>
      <c r="BF23" s="370">
        <f t="shared" si="44"/>
        <v>0</v>
      </c>
      <c r="BG23" s="73">
        <f t="shared" si="13"/>
        <v>31.835618070658086</v>
      </c>
      <c r="BH23" s="368">
        <v>1</v>
      </c>
      <c r="BI23" s="84">
        <f t="shared" si="14"/>
        <v>4.2749999999999995</v>
      </c>
      <c r="BJ23" s="78">
        <f t="shared" si="45"/>
        <v>9.8493837450082944E-2</v>
      </c>
      <c r="BK23" s="103">
        <f t="shared" si="46"/>
        <v>0.41615199544519899</v>
      </c>
      <c r="BL23" s="71">
        <f t="shared" si="47"/>
        <v>1350</v>
      </c>
      <c r="BM23" s="71">
        <f t="shared" si="15"/>
        <v>4538.5877944146896</v>
      </c>
      <c r="BN23" s="74">
        <f t="shared" si="16"/>
        <v>3.3619168847516221</v>
      </c>
      <c r="BO23" s="366">
        <f t="shared" si="48"/>
        <v>0.9653312607677963</v>
      </c>
      <c r="BP23" s="368">
        <f t="shared" si="49"/>
        <v>3.4826525760960836</v>
      </c>
      <c r="BQ23" s="76">
        <f t="shared" si="17"/>
        <v>1</v>
      </c>
      <c r="BR23" s="74">
        <f t="shared" si="18"/>
        <v>28.835618070658086</v>
      </c>
      <c r="BS23" s="367">
        <v>1</v>
      </c>
      <c r="BT23" s="83">
        <f t="shared" si="50"/>
        <v>2.2586249999999999</v>
      </c>
      <c r="BU23" s="79">
        <f t="shared" si="19"/>
        <v>0</v>
      </c>
      <c r="BV23" s="112">
        <f t="shared" si="20"/>
        <v>0</v>
      </c>
      <c r="BW23" s="55">
        <f t="shared" si="21"/>
        <v>-5.0125418235442863E-3</v>
      </c>
      <c r="BX23" s="134">
        <f t="shared" si="22"/>
        <v>-5.0125418235442863E-3</v>
      </c>
      <c r="BY23" s="134"/>
      <c r="BZ23" s="391">
        <f t="shared" si="69"/>
        <v>10906.08201832437</v>
      </c>
      <c r="CA23" s="242">
        <f t="shared" si="23"/>
        <v>7634.2574128270589</v>
      </c>
      <c r="CB23" s="242">
        <f t="shared" si="68"/>
        <v>6321.4389464572587</v>
      </c>
      <c r="CC23" s="149">
        <f t="shared" si="70"/>
        <v>0</v>
      </c>
      <c r="CD23" s="17">
        <f t="shared" si="52"/>
        <v>10906.08201832437</v>
      </c>
      <c r="CE23" s="269">
        <f t="shared" si="53"/>
        <v>800.49733421938799</v>
      </c>
      <c r="CF23" s="136">
        <f t="shared" si="24"/>
        <v>10105.584684104982</v>
      </c>
      <c r="CG23" s="246">
        <f>IF($B$33=0,0, IF($B$33=1,Colony!AF23,IF($B$33=2,Colony!AG23,IF($B$33=3,Colony!AH23,IF($B$33=4,Colony!AI23,IF($B$33="X",Colony!AK23,"error"))))))</f>
        <v>75</v>
      </c>
      <c r="CH23" s="138">
        <f t="shared" si="54"/>
        <v>-3226.0312532854905</v>
      </c>
      <c r="CI23" s="98">
        <f t="shared" si="62"/>
        <v>-3151.0312532854905</v>
      </c>
      <c r="CJ23" s="268">
        <f t="shared" si="55"/>
        <v>6954.553430819492</v>
      </c>
      <c r="CK23" s="136">
        <f t="shared" si="25"/>
        <v>0</v>
      </c>
      <c r="CL23" s="95">
        <f t="shared" si="26"/>
        <v>6954.553430819492</v>
      </c>
      <c r="CM23" s="29">
        <f t="shared" si="56"/>
        <v>-2.9584043967393576E-2</v>
      </c>
      <c r="CN23" s="274">
        <f t="shared" si="27"/>
        <v>40831</v>
      </c>
      <c r="CO23" s="89">
        <f t="shared" si="28"/>
        <v>6367.4942239096808</v>
      </c>
      <c r="CP23" s="21">
        <f t="shared" si="29"/>
        <v>0.26531225932957003</v>
      </c>
      <c r="CQ23" s="146">
        <f t="shared" si="30"/>
        <v>83.573361688814558</v>
      </c>
      <c r="CR23">
        <f t="shared" si="67"/>
        <v>100</v>
      </c>
      <c r="CS23" t="str">
        <f t="shared" si="63"/>
        <v/>
      </c>
      <c r="CT23">
        <f t="shared" si="64"/>
        <v>100</v>
      </c>
      <c r="CU23" s="17">
        <f t="shared" si="57"/>
        <v>6159.375</v>
      </c>
      <c r="CV23" s="18">
        <f t="shared" si="58"/>
        <v>-6000</v>
      </c>
      <c r="CW23" s="267">
        <f t="shared" si="59"/>
        <v>12159.375</v>
      </c>
      <c r="CX23" s="267">
        <f t="shared" si="65"/>
        <v>799.52054794520541</v>
      </c>
      <c r="CY23" s="104">
        <f t="shared" si="60"/>
        <v>1</v>
      </c>
      <c r="CZ23" s="266">
        <f t="shared" si="61"/>
        <v>3226.0312532854905</v>
      </c>
      <c r="DB23" s="17">
        <f t="shared" si="66"/>
        <v>0</v>
      </c>
      <c r="DC23" s="165">
        <f>DV$57</f>
        <v>4450.8963351367411</v>
      </c>
      <c r="DD23" s="37">
        <f>DU$59</f>
        <v>0.19283466996784018</v>
      </c>
      <c r="DH23" s="2">
        <v>40831</v>
      </c>
      <c r="DI23" s="262">
        <v>43205</v>
      </c>
      <c r="DL23">
        <v>25.83</v>
      </c>
    </row>
    <row r="24" spans="1:130" ht="12.75" customHeight="1" x14ac:dyDescent="0.2">
      <c r="A24" s="298"/>
      <c r="B24" s="443" t="s">
        <v>216</v>
      </c>
      <c r="C24" s="443"/>
      <c r="D24" s="443"/>
      <c r="E24" s="443"/>
      <c r="F24" s="443"/>
      <c r="G24" s="443"/>
      <c r="H24" s="443"/>
      <c r="I24" s="443"/>
      <c r="J24" s="443"/>
      <c r="K24" s="443"/>
      <c r="L24" s="443"/>
      <c r="M24" s="443"/>
      <c r="N24" s="443"/>
      <c r="O24" s="443"/>
      <c r="P24" s="443"/>
      <c r="Q24" s="444"/>
      <c r="R24" s="445">
        <f>LN(V21/V11)/(U21-U11)</f>
        <v>2.1265018791115628E-2</v>
      </c>
      <c r="S24" s="445"/>
      <c r="T24" s="125"/>
      <c r="U24" s="2">
        <f t="shared" si="0"/>
        <v>40848</v>
      </c>
      <c r="V24" s="59" t="str">
        <f t="shared" si="31"/>
        <v/>
      </c>
      <c r="W24" s="310" t="str">
        <f t="shared" si="32"/>
        <v/>
      </c>
      <c r="X24" s="235" t="str">
        <f t="shared" si="33"/>
        <v/>
      </c>
      <c r="Y24" s="123" t="str">
        <f t="shared" si="34"/>
        <v/>
      </c>
      <c r="Z24" s="4" t="str">
        <f t="shared" si="1"/>
        <v/>
      </c>
      <c r="AA24" s="3" t="str">
        <f t="shared" si="2"/>
        <v/>
      </c>
      <c r="AG24" s="37"/>
      <c r="AI24" s="437"/>
      <c r="AJ24" s="274">
        <f t="shared" si="35"/>
        <v>40848</v>
      </c>
      <c r="AK24" s="394">
        <f>IF($B$29="d",Colony!H51,IF($B$29="n",Colony!H79,IF($B$29="p",Colony!H107,IF($B$29="a",Colony!H135,IF($B$29="b",Colony!H163,IF($B$29="c",Colony!H191,IF($B$29="r",Colony!H219,IF($B$29="s",Colony!H247,IF($B$29="f",Colony!H275,"error")))))))))</f>
        <v>9</v>
      </c>
      <c r="AL24">
        <f t="shared" si="3"/>
        <v>18000</v>
      </c>
      <c r="AM24" s="81">
        <f>IF($B$29="d",Colony!F51,IF($B$29="n",Colony!F79,IF($B$29="p",Colony!F107,IF($B$29="a",Colony!F135,IF($B$29="b",Colony!F163,IF($B$29="c",Colony!F191,IF($B$29="r",Colony!F219,IF($B$29="s",Colony!F247,IF($B$29="f",Colony!F275,"error")))))))))</f>
        <v>0</v>
      </c>
      <c r="AN24" s="17">
        <f t="shared" si="4"/>
        <v>1</v>
      </c>
      <c r="AO24" s="21">
        <f t="shared" si="5"/>
        <v>5.5555555555555558E-5</v>
      </c>
      <c r="AP24">
        <f t="shared" si="36"/>
        <v>0.6</v>
      </c>
      <c r="AQ24" s="18">
        <f t="shared" si="37"/>
        <v>0</v>
      </c>
      <c r="AR24" s="18">
        <f t="shared" si="6"/>
        <v>0.05</v>
      </c>
      <c r="AS24" s="142">
        <f t="shared" si="38"/>
        <v>53.990635184391508</v>
      </c>
      <c r="AT24" s="27">
        <f t="shared" si="7"/>
        <v>65.990635184391508</v>
      </c>
      <c r="AU24" s="32">
        <f t="shared" si="8"/>
        <v>1</v>
      </c>
      <c r="AV24" s="131">
        <f t="shared" si="9"/>
        <v>0</v>
      </c>
      <c r="AW24" s="28">
        <f t="shared" si="10"/>
        <v>0</v>
      </c>
      <c r="AX24" s="258">
        <f t="shared" si="11"/>
        <v>0.6</v>
      </c>
      <c r="AY24" s="80">
        <f>IF($B$29="d",Colony!J51,IF($B$29="n",Colony!J79,IF($B$29="p",Colony!J107,IF($B$29="a",Colony!J135,IF($B$29="b",Colony!J163,IF($B$29="c",Colony!J191,IF($B$29="r",Colony!J219,IF($B$29="s",Colony!J219,IF($B$29="f",Colony!J275,"error")))))))))</f>
        <v>0</v>
      </c>
      <c r="AZ24" s="106">
        <f t="shared" si="39"/>
        <v>0</v>
      </c>
      <c r="BA24" s="75">
        <f t="shared" si="40"/>
        <v>0</v>
      </c>
      <c r="BB24" s="102">
        <f t="shared" si="41"/>
        <v>0</v>
      </c>
      <c r="BC24" s="72">
        <f t="shared" si="12"/>
        <v>0</v>
      </c>
      <c r="BD24" s="73">
        <f t="shared" si="42"/>
        <v>0</v>
      </c>
      <c r="BE24" s="369">
        <f t="shared" si="43"/>
        <v>0</v>
      </c>
      <c r="BF24" s="370">
        <f t="shared" si="44"/>
        <v>0</v>
      </c>
      <c r="BG24" s="73">
        <f t="shared" si="13"/>
        <v>68.990635184391508</v>
      </c>
      <c r="BH24" s="368">
        <v>1</v>
      </c>
      <c r="BI24" s="84">
        <f t="shared" si="14"/>
        <v>4.2749999999999995</v>
      </c>
      <c r="BJ24" s="78">
        <f t="shared" si="45"/>
        <v>9.8493837450082944E-2</v>
      </c>
      <c r="BK24" s="103">
        <f t="shared" si="46"/>
        <v>0</v>
      </c>
      <c r="BL24" s="71">
        <f t="shared" si="47"/>
        <v>0.6</v>
      </c>
      <c r="BM24" s="71">
        <f t="shared" si="15"/>
        <v>0</v>
      </c>
      <c r="BN24" s="74">
        <f t="shared" si="16"/>
        <v>0</v>
      </c>
      <c r="BO24" s="366">
        <f t="shared" si="48"/>
        <v>0</v>
      </c>
      <c r="BP24" s="368">
        <f t="shared" si="49"/>
        <v>0</v>
      </c>
      <c r="BQ24" s="76">
        <f t="shared" si="17"/>
        <v>1</v>
      </c>
      <c r="BR24" s="74">
        <f t="shared" si="18"/>
        <v>65.990635184391508</v>
      </c>
      <c r="BS24" s="367">
        <v>1</v>
      </c>
      <c r="BT24" s="83">
        <f t="shared" si="50"/>
        <v>2.2586249999999999</v>
      </c>
      <c r="BU24" s="79">
        <f t="shared" si="19"/>
        <v>0</v>
      </c>
      <c r="BV24" s="112">
        <f t="shared" si="20"/>
        <v>0</v>
      </c>
      <c r="BW24" s="55">
        <f t="shared" si="21"/>
        <v>-5.0125418235442863E-3</v>
      </c>
      <c r="BX24" s="134">
        <f t="shared" si="22"/>
        <v>-5.0125418235442863E-3</v>
      </c>
      <c r="BY24" s="134"/>
      <c r="BZ24" s="391">
        <f t="shared" si="69"/>
        <v>6954.553430819492</v>
      </c>
      <c r="CA24" s="242">
        <f t="shared" si="23"/>
        <v>4868.1874015736439</v>
      </c>
      <c r="CB24" s="242">
        <f t="shared" si="68"/>
        <v>3929.4320906495927</v>
      </c>
      <c r="CC24" s="149">
        <f t="shared" si="70"/>
        <v>0</v>
      </c>
      <c r="CD24" s="17">
        <f t="shared" si="52"/>
        <v>6954.553430819492</v>
      </c>
      <c r="CE24" s="269">
        <f t="shared" si="53"/>
        <v>510.45842793988504</v>
      </c>
      <c r="CF24" s="136">
        <f t="shared" si="24"/>
        <v>6444.0950028796069</v>
      </c>
      <c r="CG24" s="246">
        <f>IF($B$33=0,0, IF($B$33=1,Colony!AF24,IF($B$33=2,Colony!AG24,IF($B$33=3,Colony!AH24,IF($B$33=4,Colony!AI24,IF($B$33="X",Colony!AK24,"error"))))))</f>
        <v>14</v>
      </c>
      <c r="CH24" s="138">
        <f t="shared" si="54"/>
        <v>-2913.1247899669665</v>
      </c>
      <c r="CI24" s="98">
        <f t="shared" si="62"/>
        <v>-2899.1247899669665</v>
      </c>
      <c r="CJ24" s="268">
        <f t="shared" si="55"/>
        <v>3544.9702129126404</v>
      </c>
      <c r="CK24" s="136">
        <f t="shared" si="25"/>
        <v>0</v>
      </c>
      <c r="CL24" s="95">
        <f t="shared" si="26"/>
        <v>3544.9702129126404</v>
      </c>
      <c r="CM24" s="29">
        <f t="shared" si="56"/>
        <v>-4.4309053647999377E-2</v>
      </c>
      <c r="CN24" s="274">
        <f t="shared" si="27"/>
        <v>40848</v>
      </c>
      <c r="CO24" s="89">
        <f t="shared" si="28"/>
        <v>6954.553430819492</v>
      </c>
      <c r="CP24" s="21">
        <f t="shared" si="29"/>
        <v>0.38636407948997176</v>
      </c>
      <c r="CQ24" s="146">
        <f t="shared" si="30"/>
        <v>121.7046850393411</v>
      </c>
      <c r="CR24">
        <f t="shared" si="67"/>
        <v>100</v>
      </c>
      <c r="CS24">
        <f t="shared" si="63"/>
        <v>100</v>
      </c>
      <c r="CT24">
        <f t="shared" si="64"/>
        <v>200</v>
      </c>
      <c r="CU24" s="17">
        <f t="shared" si="57"/>
        <v>1539.84375</v>
      </c>
      <c r="CV24" s="18">
        <f t="shared" si="58"/>
        <v>-6000</v>
      </c>
      <c r="CW24" s="267">
        <f t="shared" si="59"/>
        <v>7539.84375</v>
      </c>
      <c r="CX24" s="267">
        <f t="shared" si="65"/>
        <v>495.77054794520546</v>
      </c>
      <c r="CY24" s="104">
        <f t="shared" si="60"/>
        <v>1</v>
      </c>
      <c r="CZ24" s="266">
        <f t="shared" si="61"/>
        <v>2913.1247899669665</v>
      </c>
      <c r="DB24" s="17">
        <f t="shared" si="66"/>
        <v>0</v>
      </c>
      <c r="DC24" s="165">
        <f>DW$57</f>
        <v>5814.0606103219479</v>
      </c>
      <c r="DD24" s="37">
        <f>DV$59</f>
        <v>0.27663625118110635</v>
      </c>
      <c r="DH24" s="2">
        <v>40848</v>
      </c>
      <c r="DI24" s="262">
        <v>43221</v>
      </c>
    </row>
    <row r="25" spans="1:130" ht="12.75" customHeight="1" x14ac:dyDescent="0.2">
      <c r="A25" s="298"/>
      <c r="B25" s="446" t="s">
        <v>212</v>
      </c>
      <c r="C25" s="446"/>
      <c r="D25" s="446"/>
      <c r="E25" s="446"/>
      <c r="F25" s="446"/>
      <c r="G25" s="446"/>
      <c r="H25" s="446"/>
      <c r="I25" s="446"/>
      <c r="J25" s="446"/>
      <c r="K25" s="446"/>
      <c r="L25" s="446"/>
      <c r="M25" s="446"/>
      <c r="N25" s="446"/>
      <c r="O25" s="446"/>
      <c r="P25" s="446"/>
      <c r="Q25" s="447"/>
      <c r="R25" s="448" t="s">
        <v>148</v>
      </c>
      <c r="S25" s="449"/>
      <c r="T25" s="125"/>
      <c r="U25" s="2">
        <f t="shared" si="0"/>
        <v>40862</v>
      </c>
      <c r="V25" s="59" t="str">
        <f t="shared" si="31"/>
        <v/>
      </c>
      <c r="W25" s="310" t="str">
        <f t="shared" si="32"/>
        <v/>
      </c>
      <c r="X25" s="235" t="str">
        <f t="shared" si="33"/>
        <v/>
      </c>
      <c r="Y25" s="123" t="str">
        <f t="shared" si="34"/>
        <v/>
      </c>
      <c r="Z25" s="4" t="str">
        <f t="shared" si="1"/>
        <v/>
      </c>
      <c r="AA25" s="3" t="str">
        <f t="shared" si="2"/>
        <v/>
      </c>
      <c r="AG25" s="37"/>
      <c r="AI25" s="437"/>
      <c r="AJ25" s="274">
        <f t="shared" si="35"/>
        <v>40862</v>
      </c>
      <c r="AK25" s="394">
        <f>IF($B$29="d",Colony!H52,IF($B$29="n",Colony!H80,IF($B$29="p",Colony!H108,IF($B$29="a",Colony!H136,IF($B$29="b",Colony!H164,IF($B$29="c",Colony!H192,IF($B$29="r",Colony!H220,IF($B$29="s",Colony!H248,IF($B$29="f",Colony!H276,"error")))))))))</f>
        <v>8.5</v>
      </c>
      <c r="AL25">
        <f t="shared" si="3"/>
        <v>17000</v>
      </c>
      <c r="AM25" s="81">
        <f>IF($B$29="d",Colony!F52,IF($B$29="n",Colony!F80,IF($B$29="p",Colony!F108,IF($B$29="a",Colony!F136,IF($B$29="b",Colony!F164,IF($B$29="c",Colony!F192,IF($B$29="r",Colony!F220,IF($B$29="s",Colony!F248,IF($B$29="f",Colony!F276,"error")))))))))</f>
        <v>0</v>
      </c>
      <c r="AN25" s="17">
        <f t="shared" si="4"/>
        <v>1</v>
      </c>
      <c r="AO25" s="21">
        <f t="shared" si="5"/>
        <v>5.8823529411764708E-5</v>
      </c>
      <c r="AP25">
        <f t="shared" si="36"/>
        <v>0.6</v>
      </c>
      <c r="AQ25" s="18">
        <f t="shared" si="37"/>
        <v>0</v>
      </c>
      <c r="AR25" s="18">
        <f t="shared" si="6"/>
        <v>0.05</v>
      </c>
      <c r="AS25" s="142">
        <f t="shared" si="38"/>
        <v>53.704843115191771</v>
      </c>
      <c r="AT25" s="27">
        <f t="shared" si="7"/>
        <v>65.704843115191778</v>
      </c>
      <c r="AU25" s="32">
        <f t="shared" si="8"/>
        <v>1</v>
      </c>
      <c r="AV25" s="131">
        <f t="shared" si="9"/>
        <v>0</v>
      </c>
      <c r="AW25" s="28">
        <f t="shared" si="10"/>
        <v>0</v>
      </c>
      <c r="AX25" s="258">
        <f t="shared" si="11"/>
        <v>0.6</v>
      </c>
      <c r="AY25" s="80">
        <f>IF($B$29="d",Colony!J52,IF($B$29="n",Colony!J80,IF($B$29="p",Colony!J108,IF($B$29="a",Colony!J136,IF($B$29="b",Colony!J164,IF($B$29="c",Colony!J192,IF($B$29="r",Colony!J220,IF($B$29="s",Colony!J220,IF($B$29="f",Colony!J276,"error")))))))))</f>
        <v>0</v>
      </c>
      <c r="AZ25" s="106">
        <f t="shared" si="39"/>
        <v>0</v>
      </c>
      <c r="BA25" s="75">
        <f t="shared" si="40"/>
        <v>0</v>
      </c>
      <c r="BB25" s="102">
        <f t="shared" si="41"/>
        <v>0</v>
      </c>
      <c r="BC25" s="72">
        <f t="shared" si="12"/>
        <v>0</v>
      </c>
      <c r="BD25" s="73">
        <f t="shared" si="42"/>
        <v>0</v>
      </c>
      <c r="BE25" s="369">
        <f t="shared" si="43"/>
        <v>0</v>
      </c>
      <c r="BF25" s="370">
        <f t="shared" si="44"/>
        <v>0</v>
      </c>
      <c r="BG25" s="73">
        <f t="shared" si="13"/>
        <v>68.704843115191778</v>
      </c>
      <c r="BH25" s="368">
        <v>1</v>
      </c>
      <c r="BI25" s="84">
        <f t="shared" si="14"/>
        <v>4.2749999999999995</v>
      </c>
      <c r="BJ25" s="78">
        <f t="shared" si="45"/>
        <v>9.8493837450082944E-2</v>
      </c>
      <c r="BK25" s="103">
        <f t="shared" si="46"/>
        <v>0</v>
      </c>
      <c r="BL25" s="71">
        <f t="shared" si="47"/>
        <v>0.6</v>
      </c>
      <c r="BM25" s="71">
        <f t="shared" si="15"/>
        <v>0</v>
      </c>
      <c r="BN25" s="74">
        <f t="shared" si="16"/>
        <v>0</v>
      </c>
      <c r="BO25" s="366">
        <f t="shared" si="48"/>
        <v>0</v>
      </c>
      <c r="BP25" s="368">
        <f t="shared" si="49"/>
        <v>0</v>
      </c>
      <c r="BQ25" s="76">
        <f t="shared" si="17"/>
        <v>1</v>
      </c>
      <c r="BR25" s="74">
        <f t="shared" si="18"/>
        <v>65.704843115191778</v>
      </c>
      <c r="BS25" s="367">
        <v>1</v>
      </c>
      <c r="BT25" s="83">
        <f t="shared" si="50"/>
        <v>2.2586249999999999</v>
      </c>
      <c r="BU25" s="79">
        <f t="shared" si="19"/>
        <v>0</v>
      </c>
      <c r="BV25" s="112">
        <f t="shared" si="20"/>
        <v>0</v>
      </c>
      <c r="BW25" s="55">
        <f t="shared" si="21"/>
        <v>-5.0125418235442863E-3</v>
      </c>
      <c r="BX25" s="134">
        <f t="shared" si="22"/>
        <v>-5.0125418235442863E-3</v>
      </c>
      <c r="BY25" s="134"/>
      <c r="BZ25" s="391">
        <f t="shared" si="69"/>
        <v>3544.9702129126404</v>
      </c>
      <c r="CA25" s="242">
        <f t="shared" si="23"/>
        <v>2481.4791490388479</v>
      </c>
      <c r="CB25" s="242">
        <f t="shared" si="68"/>
        <v>1795.0120598646592</v>
      </c>
      <c r="CC25" s="149">
        <f t="shared" si="70"/>
        <v>0</v>
      </c>
      <c r="CD25" s="17">
        <f t="shared" si="52"/>
        <v>3544.9702129126404</v>
      </c>
      <c r="CE25" s="269">
        <f t="shared" si="53"/>
        <v>260.19786029077568</v>
      </c>
      <c r="CF25" s="136">
        <f t="shared" si="24"/>
        <v>3284.7723526218647</v>
      </c>
      <c r="CG25" s="246">
        <f>IF($B$33=0,0, IF($B$33=1,Colony!AF25,IF($B$33=2,Colony!AG25,IF($B$33=3,Colony!AH25,IF($B$33=4,Colony!AI25,IF($B$33="X",Colony!AK25,"error"))))))</f>
        <v>0</v>
      </c>
      <c r="CH25" s="138">
        <f t="shared" si="54"/>
        <v>-208.67037070012367</v>
      </c>
      <c r="CI25" s="98">
        <f t="shared" si="62"/>
        <v>-208.67037070012367</v>
      </c>
      <c r="CJ25" s="268">
        <f t="shared" si="55"/>
        <v>3076.1019819217408</v>
      </c>
      <c r="CK25" s="136">
        <f t="shared" si="25"/>
        <v>0</v>
      </c>
      <c r="CL25" s="95">
        <f t="shared" si="26"/>
        <v>3076.1019819217408</v>
      </c>
      <c r="CM25" s="29">
        <f t="shared" si="56"/>
        <v>-9.3282116528717891E-3</v>
      </c>
      <c r="CN25" s="274">
        <f t="shared" si="27"/>
        <v>40862</v>
      </c>
      <c r="CO25" s="89">
        <f t="shared" si="28"/>
        <v>3544.9702129126404</v>
      </c>
      <c r="CP25" s="21">
        <f t="shared" si="29"/>
        <v>0.20852765958309649</v>
      </c>
      <c r="CQ25" s="146">
        <f t="shared" si="30"/>
        <v>65.686212768675389</v>
      </c>
      <c r="CR25">
        <f t="shared" si="67"/>
        <v>100</v>
      </c>
      <c r="CS25">
        <f t="shared" si="63"/>
        <v>100</v>
      </c>
      <c r="CT25">
        <f t="shared" si="64"/>
        <v>200</v>
      </c>
      <c r="CU25" s="17">
        <f t="shared" si="57"/>
        <v>0.68437499999999996</v>
      </c>
      <c r="CV25" s="18">
        <f t="shared" si="58"/>
        <v>-1000</v>
      </c>
      <c r="CW25" s="267">
        <f t="shared" si="59"/>
        <v>1000.684375</v>
      </c>
      <c r="CX25" s="267">
        <f t="shared" si="65"/>
        <v>65.798424657534241</v>
      </c>
      <c r="CY25" s="104">
        <f t="shared" si="60"/>
        <v>1</v>
      </c>
      <c r="CZ25" s="266">
        <f t="shared" si="61"/>
        <v>208.67037070012367</v>
      </c>
      <c r="DB25" s="17">
        <f t="shared" si="66"/>
        <v>0</v>
      </c>
      <c r="DC25" s="165">
        <f>DX$57</f>
        <v>7356.2249539932427</v>
      </c>
      <c r="DD25" s="37">
        <f>DW$59</f>
        <v>0.39549900955766887</v>
      </c>
      <c r="DH25" s="2">
        <v>40862</v>
      </c>
      <c r="DI25" s="262">
        <v>43235</v>
      </c>
      <c r="DL25">
        <v>17.954999999999998</v>
      </c>
    </row>
    <row r="26" spans="1:130" ht="12.75" customHeight="1" x14ac:dyDescent="0.2">
      <c r="A26" s="450" t="s">
        <v>294</v>
      </c>
      <c r="B26" s="6" t="s">
        <v>211</v>
      </c>
      <c r="L26" s="451" t="s">
        <v>49</v>
      </c>
      <c r="M26" s="452"/>
      <c r="N26" s="453"/>
      <c r="P26" s="395"/>
      <c r="T26" s="125"/>
      <c r="U26" s="2">
        <f t="shared" si="0"/>
        <v>40878</v>
      </c>
      <c r="V26" s="59" t="str">
        <f t="shared" si="31"/>
        <v/>
      </c>
      <c r="W26" s="310" t="str">
        <f t="shared" si="32"/>
        <v/>
      </c>
      <c r="X26" s="235" t="str">
        <f t="shared" si="33"/>
        <v/>
      </c>
      <c r="Y26" s="123" t="str">
        <f t="shared" si="34"/>
        <v/>
      </c>
      <c r="Z26" s="4" t="str">
        <f t="shared" si="1"/>
        <v/>
      </c>
      <c r="AA26" s="3" t="str">
        <f t="shared" si="2"/>
        <v/>
      </c>
      <c r="AG26" s="37"/>
      <c r="AI26" s="437"/>
      <c r="AJ26" s="274">
        <f t="shared" si="35"/>
        <v>40878</v>
      </c>
      <c r="AK26" s="394">
        <f>IF($B$29="d",Colony!H53,IF($B$29="n",Colony!H81,IF($B$29="p",Colony!H109,IF($B$29="a",Colony!H137,IF($B$29="b",Colony!H165,IF($B$29="c",Colony!H193,IF($B$29="r",Colony!H221,IF($B$29="s",Colony!H249,IF($B$29="f",Colony!H277,"error")))))))))</f>
        <v>8.25</v>
      </c>
      <c r="AL26">
        <f t="shared" si="3"/>
        <v>16500</v>
      </c>
      <c r="AM26" s="81">
        <f>IF($B$29="d",Colony!F53,IF($B$29="n",Colony!F81,IF($B$29="p",Colony!F109,IF($B$29="a",Colony!F137,IF($B$29="b",Colony!F165,IF($B$29="c",Colony!F193,IF($B$29="r",Colony!F221,IF($B$29="s",Colony!F249,IF($B$29="f",Colony!F277,"error")))))))))</f>
        <v>0</v>
      </c>
      <c r="AN26" s="17">
        <f t="shared" si="4"/>
        <v>1</v>
      </c>
      <c r="AO26" s="21">
        <f t="shared" si="5"/>
        <v>6.0606060606060605E-5</v>
      </c>
      <c r="AP26">
        <f t="shared" si="36"/>
        <v>0.6</v>
      </c>
      <c r="AQ26" s="18">
        <f t="shared" si="37"/>
        <v>0</v>
      </c>
      <c r="AR26" s="18">
        <f t="shared" si="6"/>
        <v>0.05</v>
      </c>
      <c r="AS26" s="142">
        <f t="shared" si="38"/>
        <v>53.555578299443354</v>
      </c>
      <c r="AT26" s="27">
        <f t="shared" si="7"/>
        <v>65.555578299443354</v>
      </c>
      <c r="AU26" s="32">
        <f t="shared" si="8"/>
        <v>1</v>
      </c>
      <c r="AV26" s="131">
        <f t="shared" si="9"/>
        <v>0</v>
      </c>
      <c r="AW26" s="28">
        <f t="shared" si="10"/>
        <v>0</v>
      </c>
      <c r="AX26" s="258">
        <f t="shared" si="11"/>
        <v>0.6</v>
      </c>
      <c r="AY26" s="80">
        <f>IF($B$29="d",Colony!J53,IF($B$29="n",Colony!J81,IF($B$29="p",Colony!J109,IF($B$29="a",Colony!J137,IF($B$29="b",Colony!J165,IF($B$29="c",Colony!J193,IF($B$29="r",Colony!J221,IF($B$29="s",Colony!J221,IF($B$29="f",Colony!J277,"error")))))))))</f>
        <v>0</v>
      </c>
      <c r="AZ26" s="106">
        <f t="shared" si="39"/>
        <v>0</v>
      </c>
      <c r="BA26" s="75">
        <f t="shared" si="40"/>
        <v>0</v>
      </c>
      <c r="BB26" s="102">
        <f t="shared" si="41"/>
        <v>0</v>
      </c>
      <c r="BC26" s="72">
        <f t="shared" si="12"/>
        <v>0</v>
      </c>
      <c r="BD26" s="73">
        <f t="shared" si="42"/>
        <v>0</v>
      </c>
      <c r="BE26" s="369">
        <f t="shared" si="43"/>
        <v>0</v>
      </c>
      <c r="BF26" s="370">
        <f t="shared" si="44"/>
        <v>0</v>
      </c>
      <c r="BG26" s="73">
        <f t="shared" si="13"/>
        <v>68.555578299443354</v>
      </c>
      <c r="BH26" s="368">
        <v>1</v>
      </c>
      <c r="BI26" s="84">
        <f t="shared" si="14"/>
        <v>4.2749999999999995</v>
      </c>
      <c r="BJ26" s="78">
        <f t="shared" si="45"/>
        <v>9.8493837450082944E-2</v>
      </c>
      <c r="BK26" s="103">
        <f t="shared" si="46"/>
        <v>0</v>
      </c>
      <c r="BL26" s="71">
        <f t="shared" si="47"/>
        <v>0.6</v>
      </c>
      <c r="BM26" s="71">
        <f t="shared" si="15"/>
        <v>0</v>
      </c>
      <c r="BN26" s="74">
        <f t="shared" si="16"/>
        <v>0</v>
      </c>
      <c r="BO26" s="366">
        <f t="shared" si="48"/>
        <v>0</v>
      </c>
      <c r="BP26" s="368">
        <f t="shared" si="49"/>
        <v>0</v>
      </c>
      <c r="BQ26" s="76">
        <f t="shared" si="17"/>
        <v>1</v>
      </c>
      <c r="BR26" s="74">
        <f t="shared" si="18"/>
        <v>65.555578299443354</v>
      </c>
      <c r="BS26" s="367">
        <v>1</v>
      </c>
      <c r="BT26" s="83">
        <f t="shared" si="50"/>
        <v>2.2586249999999999</v>
      </c>
      <c r="BU26" s="79">
        <f t="shared" si="19"/>
        <v>0</v>
      </c>
      <c r="BV26" s="112">
        <f t="shared" si="20"/>
        <v>0</v>
      </c>
      <c r="BW26" s="55">
        <f t="shared" si="21"/>
        <v>-5.0125418235442863E-3</v>
      </c>
      <c r="BX26" s="134">
        <f t="shared" si="22"/>
        <v>-5.0125418235442863E-3</v>
      </c>
      <c r="BY26" s="134"/>
      <c r="BZ26" s="391">
        <f t="shared" si="69"/>
        <v>3076.1019819217408</v>
      </c>
      <c r="CA26" s="242">
        <f t="shared" si="23"/>
        <v>2153.2713873452185</v>
      </c>
      <c r="CB26" s="242">
        <f t="shared" si="68"/>
        <v>1301.6546863413168</v>
      </c>
      <c r="CC26" s="149">
        <f t="shared" si="70"/>
        <v>0</v>
      </c>
      <c r="CD26" s="17">
        <f t="shared" si="52"/>
        <v>3076.1019819217408</v>
      </c>
      <c r="CE26" s="269">
        <f t="shared" si="53"/>
        <v>225.78332275312005</v>
      </c>
      <c r="CF26" s="136">
        <f t="shared" si="24"/>
        <v>2850.3186591686208</v>
      </c>
      <c r="CG26" s="246">
        <f>IF($B$33=0,0, IF($B$33=1,Colony!AF26,IF($B$33=2,Colony!AG26,IF($B$33=3,Colony!AH26,IF($B$33=4,Colony!AI26,IF($B$33="X",Colony!AK26,"error"))))))</f>
        <v>0</v>
      </c>
      <c r="CH26" s="138">
        <f t="shared" si="54"/>
        <v>-93.342799894227156</v>
      </c>
      <c r="CI26" s="98">
        <f t="shared" si="62"/>
        <v>-93.342799894227156</v>
      </c>
      <c r="CJ26" s="268">
        <f t="shared" si="55"/>
        <v>2756.9758592743938</v>
      </c>
      <c r="CK26" s="136">
        <f t="shared" si="25"/>
        <v>0</v>
      </c>
      <c r="CL26" s="95">
        <f t="shared" si="26"/>
        <v>2756.9758592743938</v>
      </c>
      <c r="CM26" s="29">
        <f t="shared" si="56"/>
        <v>-7.2018956264252578E-3</v>
      </c>
      <c r="CN26" s="274">
        <f t="shared" si="27"/>
        <v>40878</v>
      </c>
      <c r="CO26" s="89">
        <f t="shared" si="28"/>
        <v>3076.1019819217408</v>
      </c>
      <c r="CP26" s="21">
        <f t="shared" si="29"/>
        <v>0.18643042314677216</v>
      </c>
      <c r="CQ26" s="146">
        <f t="shared" si="30"/>
        <v>58.725583291233228</v>
      </c>
      <c r="CR26">
        <f t="shared" si="67"/>
        <v>100</v>
      </c>
      <c r="CS26">
        <f t="shared" si="63"/>
        <v>100</v>
      </c>
      <c r="CT26">
        <f t="shared" si="64"/>
        <v>200</v>
      </c>
      <c r="CU26" s="17">
        <f t="shared" si="57"/>
        <v>0.68437499999999996</v>
      </c>
      <c r="CV26" s="18">
        <f t="shared" si="58"/>
        <v>-500</v>
      </c>
      <c r="CW26" s="267">
        <f t="shared" si="59"/>
        <v>500.68437499999999</v>
      </c>
      <c r="CX26" s="267">
        <f t="shared" si="65"/>
        <v>32.921712328767121</v>
      </c>
      <c r="CY26" s="104">
        <f t="shared" si="60"/>
        <v>1</v>
      </c>
      <c r="CZ26" s="266">
        <f t="shared" si="61"/>
        <v>93.342799894227156</v>
      </c>
      <c r="DB26" s="17">
        <f t="shared" si="66"/>
        <v>0</v>
      </c>
      <c r="DC26" s="165">
        <f>DY$57</f>
        <v>9418.4631979047062</v>
      </c>
      <c r="DD26" s="37">
        <f>DX$59</f>
        <v>0.5476777289667335</v>
      </c>
      <c r="DH26" s="2">
        <v>40878</v>
      </c>
      <c r="DI26" s="262">
        <v>43252</v>
      </c>
    </row>
    <row r="27" spans="1:130" ht="12.75" customHeight="1" x14ac:dyDescent="0.2">
      <c r="A27" s="450"/>
      <c r="B27" t="s">
        <v>218</v>
      </c>
      <c r="P27" s="126"/>
      <c r="S27" s="244"/>
      <c r="T27" s="125"/>
      <c r="U27" s="2">
        <f t="shared" si="0"/>
        <v>40892</v>
      </c>
      <c r="V27" s="59" t="str">
        <f t="shared" si="31"/>
        <v/>
      </c>
      <c r="W27" s="310" t="str">
        <f t="shared" si="32"/>
        <v/>
      </c>
      <c r="X27" s="235" t="str">
        <f t="shared" si="33"/>
        <v/>
      </c>
      <c r="Y27" s="123" t="str">
        <f t="shared" si="34"/>
        <v/>
      </c>
      <c r="Z27" s="4" t="str">
        <f t="shared" si="1"/>
        <v/>
      </c>
      <c r="AA27" s="3" t="str">
        <f t="shared" si="2"/>
        <v/>
      </c>
      <c r="AG27" s="37"/>
      <c r="AI27" s="437"/>
      <c r="AJ27" s="274">
        <f t="shared" si="35"/>
        <v>40892</v>
      </c>
      <c r="AK27" s="394">
        <f>IF($B$29="d",Colony!H54,IF($B$29="n",Colony!H82,IF($B$29="p",Colony!H110,IF($B$29="a",Colony!H138,IF($B$29="b",Colony!H166,IF($B$29="c",Colony!H194,IF($B$29="r",Colony!H222,IF($B$29="s",Colony!H250,IF($B$29="f",Colony!H278,"error")))))))))</f>
        <v>8</v>
      </c>
      <c r="AL27">
        <f t="shared" si="3"/>
        <v>16000</v>
      </c>
      <c r="AM27" s="81">
        <f>IF($B$29="d",Colony!F54,IF($B$29="n",Colony!F82,IF($B$29="p",Colony!F110,IF($B$29="a",Colony!F138,IF($B$29="b",Colony!F166,IF($B$29="c",Colony!F194,IF($B$29="r",Colony!F222,IF($B$29="s",Colony!F250,IF($B$29="f",Colony!F278,"error")))))))))</f>
        <v>0</v>
      </c>
      <c r="AN27" s="17">
        <f t="shared" si="4"/>
        <v>1</v>
      </c>
      <c r="AO27" s="21">
        <f t="shared" si="5"/>
        <v>6.2500000000000001E-5</v>
      </c>
      <c r="AP27">
        <f t="shared" si="36"/>
        <v>0.6</v>
      </c>
      <c r="AQ27" s="18">
        <f t="shared" si="37"/>
        <v>0</v>
      </c>
      <c r="AR27" s="18">
        <f t="shared" si="6"/>
        <v>0.05</v>
      </c>
      <c r="AS27" s="142">
        <f t="shared" si="38"/>
        <v>53.401720006109592</v>
      </c>
      <c r="AT27" s="27">
        <f t="shared" si="7"/>
        <v>65.401720006109599</v>
      </c>
      <c r="AU27" s="32">
        <f t="shared" si="8"/>
        <v>1</v>
      </c>
      <c r="AV27" s="131">
        <f t="shared" si="9"/>
        <v>0</v>
      </c>
      <c r="AW27" s="28">
        <f t="shared" si="10"/>
        <v>0</v>
      </c>
      <c r="AX27" s="258">
        <f t="shared" si="11"/>
        <v>0.6</v>
      </c>
      <c r="AY27" s="80">
        <f>IF($B$29="d",Colony!J54,IF($B$29="n",Colony!J82,IF($B$29="p",Colony!J110,IF($B$29="a",Colony!J138,IF($B$29="b",Colony!J166,IF($B$29="c",Colony!J194,IF($B$29="r",Colony!J222,IF($B$29="s",Colony!J222,IF($B$29="f",Colony!J278,"error")))))))))</f>
        <v>0</v>
      </c>
      <c r="AZ27" s="106">
        <f t="shared" si="39"/>
        <v>0</v>
      </c>
      <c r="BA27" s="75">
        <f t="shared" si="40"/>
        <v>0</v>
      </c>
      <c r="BB27" s="102">
        <f t="shared" si="41"/>
        <v>0</v>
      </c>
      <c r="BC27" s="72">
        <f t="shared" si="12"/>
        <v>0</v>
      </c>
      <c r="BD27" s="73">
        <f t="shared" si="42"/>
        <v>0</v>
      </c>
      <c r="BE27" s="369">
        <f t="shared" si="43"/>
        <v>0</v>
      </c>
      <c r="BF27" s="370">
        <f t="shared" si="44"/>
        <v>0</v>
      </c>
      <c r="BG27" s="73">
        <f t="shared" si="13"/>
        <v>68.401720006109599</v>
      </c>
      <c r="BH27" s="368">
        <v>1</v>
      </c>
      <c r="BI27" s="84">
        <f t="shared" si="14"/>
        <v>4.2749999999999995</v>
      </c>
      <c r="BJ27" s="78">
        <f t="shared" si="45"/>
        <v>9.8493837450082944E-2</v>
      </c>
      <c r="BK27" s="103">
        <f t="shared" si="46"/>
        <v>0</v>
      </c>
      <c r="BL27" s="71">
        <f t="shared" si="47"/>
        <v>0.6</v>
      </c>
      <c r="BM27" s="71">
        <f t="shared" si="15"/>
        <v>0</v>
      </c>
      <c r="BN27" s="74">
        <f t="shared" si="16"/>
        <v>0</v>
      </c>
      <c r="BO27" s="366">
        <f t="shared" si="48"/>
        <v>0</v>
      </c>
      <c r="BP27" s="368">
        <f t="shared" si="49"/>
        <v>0</v>
      </c>
      <c r="BQ27" s="76">
        <f t="shared" si="17"/>
        <v>1</v>
      </c>
      <c r="BR27" s="74">
        <f t="shared" si="18"/>
        <v>65.401720006109599</v>
      </c>
      <c r="BS27" s="367">
        <v>1</v>
      </c>
      <c r="BT27" s="83">
        <f t="shared" si="50"/>
        <v>2.2586249999999999</v>
      </c>
      <c r="BU27" s="79">
        <f t="shared" si="19"/>
        <v>0</v>
      </c>
      <c r="BV27" s="112">
        <f t="shared" si="20"/>
        <v>0</v>
      </c>
      <c r="BW27" s="55">
        <f t="shared" si="21"/>
        <v>-5.0125418235442863E-3</v>
      </c>
      <c r="BX27" s="134">
        <f t="shared" si="22"/>
        <v>-5.0125418235442863E-3</v>
      </c>
      <c r="BY27" s="134"/>
      <c r="BZ27" s="391">
        <f t="shared" si="69"/>
        <v>2756.9758592743938</v>
      </c>
      <c r="CA27" s="242">
        <f t="shared" si="23"/>
        <v>1929.8831014920754</v>
      </c>
      <c r="CB27" s="242">
        <f t="shared" si="68"/>
        <v>872.92910729561947</v>
      </c>
      <c r="CC27" s="149">
        <f>CB27*EXP(BV27*$AK$36)-CB27</f>
        <v>0</v>
      </c>
      <c r="CD27" s="17">
        <f t="shared" si="52"/>
        <v>2756.9758592743938</v>
      </c>
      <c r="CE27" s="269">
        <f t="shared" si="53"/>
        <v>202.35973121678762</v>
      </c>
      <c r="CF27" s="136">
        <f t="shared" si="24"/>
        <v>2554.6161280576061</v>
      </c>
      <c r="CG27" s="246">
        <f>IF($B$33=0,0, IF($B$33=1,Colony!AF27,IF($B$33=2,Colony!AG27,IF($B$33=3,Colony!AH27,IF($B$33=4,Colony!AI27,IF($B$33="X",Colony!AK27,"error"))))))</f>
        <v>0</v>
      </c>
      <c r="CH27" s="138">
        <f t="shared" si="54"/>
        <v>-86.273420936930478</v>
      </c>
      <c r="CI27" s="98">
        <f t="shared" si="62"/>
        <v>-86.273420936930478</v>
      </c>
      <c r="CJ27" s="268">
        <f t="shared" si="55"/>
        <v>2468.3427071206756</v>
      </c>
      <c r="CK27" s="136">
        <f t="shared" si="25"/>
        <v>0</v>
      </c>
      <c r="CL27" s="95">
        <f t="shared" si="26"/>
        <v>2468.3427071206756</v>
      </c>
      <c r="CM27" s="29">
        <f t="shared" si="56"/>
        <v>-7.2715015353539978E-3</v>
      </c>
      <c r="CN27" s="274">
        <f t="shared" si="27"/>
        <v>40892</v>
      </c>
      <c r="CO27" s="89">
        <f t="shared" si="28"/>
        <v>2756.9758592743938</v>
      </c>
      <c r="CP27" s="21">
        <f t="shared" si="29"/>
        <v>0.1723109912046496</v>
      </c>
      <c r="CQ27" s="146">
        <f t="shared" si="30"/>
        <v>54.277962229464627</v>
      </c>
      <c r="CR27">
        <f t="shared" si="67"/>
        <v>100</v>
      </c>
      <c r="CS27">
        <f t="shared" si="63"/>
        <v>100</v>
      </c>
      <c r="CT27">
        <f t="shared" si="64"/>
        <v>200</v>
      </c>
      <c r="CU27" s="17">
        <f t="shared" si="57"/>
        <v>0.68437499999999996</v>
      </c>
      <c r="CV27" s="18">
        <f t="shared" si="58"/>
        <v>-500</v>
      </c>
      <c r="CW27" s="267">
        <f t="shared" si="59"/>
        <v>500.68437499999999</v>
      </c>
      <c r="CX27" s="267">
        <f t="shared" si="65"/>
        <v>32.921712328767121</v>
      </c>
      <c r="CY27" s="104">
        <f t="shared" si="60"/>
        <v>1</v>
      </c>
      <c r="CZ27" s="266">
        <f t="shared" si="61"/>
        <v>86.273420936930478</v>
      </c>
      <c r="DB27" s="17">
        <f t="shared" si="66"/>
        <v>0</v>
      </c>
      <c r="DC27" s="165">
        <f>DZ$57</f>
        <v>11212.990456639631</v>
      </c>
      <c r="DD27" s="37">
        <f>DY$59</f>
        <v>0.76745754235522612</v>
      </c>
      <c r="DH27" s="2">
        <v>40892</v>
      </c>
      <c r="DI27" s="262">
        <v>43266</v>
      </c>
      <c r="DL27">
        <v>11.025</v>
      </c>
    </row>
    <row r="28" spans="1:130" ht="12.75" customHeight="1" x14ac:dyDescent="0.2">
      <c r="A28" s="450"/>
      <c r="B28" s="245" t="s">
        <v>205</v>
      </c>
      <c r="D28" s="160"/>
      <c r="E28" s="160"/>
      <c r="F28" s="160"/>
      <c r="G28" s="160"/>
      <c r="H28" s="160"/>
      <c r="I28" s="160"/>
      <c r="J28" s="160"/>
      <c r="K28" s="160"/>
      <c r="L28" s="160"/>
      <c r="M28" s="160"/>
      <c r="N28" s="160"/>
      <c r="O28" s="160"/>
      <c r="P28" s="160"/>
      <c r="Q28" s="160"/>
      <c r="R28" s="160"/>
      <c r="S28" s="160"/>
      <c r="T28" s="313" t="s">
        <v>299</v>
      </c>
      <c r="U28" s="2">
        <f t="shared" si="0"/>
        <v>40908</v>
      </c>
      <c r="V28" s="59" t="str">
        <f t="shared" si="31"/>
        <v/>
      </c>
      <c r="W28" s="310" t="str">
        <f>IF(CT28&gt;0,"",CM28)</f>
        <v/>
      </c>
      <c r="X28" s="235" t="str">
        <f>IF(CT28&gt;0,"",CG28)</f>
        <v/>
      </c>
      <c r="Y28" s="123" t="str">
        <f>IF(CT28&gt;0,"",CQ28)</f>
        <v/>
      </c>
      <c r="Z28" s="4" t="str">
        <f t="shared" si="1"/>
        <v/>
      </c>
      <c r="AA28" s="3" t="str">
        <f t="shared" si="2"/>
        <v/>
      </c>
      <c r="AD28" s="64"/>
      <c r="AE28" s="64"/>
      <c r="AF28" s="91"/>
      <c r="AG28" s="91"/>
      <c r="AJ28" s="274">
        <f t="shared" si="35"/>
        <v>40908</v>
      </c>
      <c r="AK28" s="394">
        <f>IF($B$29="d",Colony!H55,IF($B$29="n",Colony!H83,IF($B$29="p",Colony!H111,IF($B$29="a",Colony!H139,IF($B$29="b",Colony!H167,IF($B$29="c",Colony!H195,IF($B$29="r",Colony!H223,IF($B$29="s",Colony!H251,IF($B$29="f",Colony!H279,"error")))))))))</f>
        <v>8</v>
      </c>
      <c r="AL28">
        <f>AK28*$AK$44</f>
        <v>16000</v>
      </c>
      <c r="AM28" s="81">
        <f>IF($B$29="d",Colony!F55,IF($B$29="n",Colony!F83,IF($B$29="p",Colony!F111,IF($B$29="a",Colony!F139,IF($B$29="b",Colony!F167,IF($B$29="c",Colony!F195,IF($B$29="r",Colony!F223,IF($B$29="s",Colony!F251,IF($B$29="f",Colony!F279,"error")))))))))</f>
        <v>0</v>
      </c>
      <c r="AN28" s="17">
        <f>IF(AM28=0,1,$AK$43*AM28)</f>
        <v>1</v>
      </c>
      <c r="AO28" s="21">
        <f>IF(AL28=0,0,AN28/AL28)</f>
        <v>6.2500000000000001E-5</v>
      </c>
      <c r="AP28">
        <f>AN28*12/20</f>
        <v>0.6</v>
      </c>
      <c r="AQ28" s="18">
        <f>BO28*AP28</f>
        <v>0</v>
      </c>
      <c r="AR28" s="18">
        <f>AN28/20</f>
        <v>0.05</v>
      </c>
      <c r="AS28" s="142">
        <f>IF(AO28=0,0.001,(-$AK$42*LN(AO28))+$AK$41)</f>
        <v>53.401720006109592</v>
      </c>
      <c r="AT28" s="27">
        <f>AS28+12</f>
        <v>65.401720006109599</v>
      </c>
      <c r="AU28" s="32">
        <f>IF(AM28=0,1,AS28/AT28)</f>
        <v>1</v>
      </c>
      <c r="AV28" s="131">
        <f>1-AU28</f>
        <v>0</v>
      </c>
      <c r="AW28" s="28">
        <f t="shared" si="10"/>
        <v>0</v>
      </c>
      <c r="AX28" s="258">
        <f>0.6*AN28</f>
        <v>0.6</v>
      </c>
      <c r="AY28" s="80">
        <f>IF($B$29="d",Colony!J55,IF($B$29="n",Colony!J83,IF($B$29="p",Colony!J111,IF($B$29="a",Colony!I139,IF($B$29="b",Colony!J167,IF($B$29="c",Colony!J195,IF($B$29="r",Colony!J223,IF($B$29="s",Colony!J223,IF($B$29="f",Colony!J279,"error")))))))))</f>
        <v>0</v>
      </c>
      <c r="AZ28" s="106">
        <f t="shared" si="39"/>
        <v>0</v>
      </c>
      <c r="BA28" s="75">
        <f t="shared" si="40"/>
        <v>0</v>
      </c>
      <c r="BB28" s="102">
        <f>BA28*AV28</f>
        <v>0</v>
      </c>
      <c r="BC28" s="72">
        <f>BA28*AW28</f>
        <v>0</v>
      </c>
      <c r="BD28" s="73">
        <f>IF(AZ28=0,0,BC28/(AX28*AZ28))</f>
        <v>0</v>
      </c>
      <c r="BE28" s="369">
        <f t="shared" si="43"/>
        <v>0</v>
      </c>
      <c r="BF28" s="370">
        <f>IF(BE28=0,0,BD28/BE28)</f>
        <v>0</v>
      </c>
      <c r="BG28" s="73">
        <f>AS28+15</f>
        <v>68.401720006109599</v>
      </c>
      <c r="BH28" s="368">
        <v>1</v>
      </c>
      <c r="BI28" s="84">
        <f>(1+($AK$31*BH28))*$AK$46</f>
        <v>4.2749999999999995</v>
      </c>
      <c r="BJ28" s="78">
        <f>LN(BI28)/14.75</f>
        <v>9.8493837450082944E-2</v>
      </c>
      <c r="BK28" s="103">
        <f>1-AU28-BB28</f>
        <v>0</v>
      </c>
      <c r="BL28" s="71">
        <f>(1-AZ28)*AX28</f>
        <v>0.6</v>
      </c>
      <c r="BM28" s="71">
        <f>AW28-BC28</f>
        <v>0</v>
      </c>
      <c r="BN28" s="74">
        <f>BM28/BL28</f>
        <v>0</v>
      </c>
      <c r="BO28" s="366">
        <f t="shared" si="48"/>
        <v>0</v>
      </c>
      <c r="BP28" s="368">
        <f t="shared" si="49"/>
        <v>0</v>
      </c>
      <c r="BQ28" s="76">
        <f t="shared" si="17"/>
        <v>1</v>
      </c>
      <c r="BR28" s="74">
        <f t="shared" si="18"/>
        <v>65.401720006109599</v>
      </c>
      <c r="BS28" s="367">
        <v>1</v>
      </c>
      <c r="BT28" s="83">
        <f t="shared" si="50"/>
        <v>2.2586249999999999</v>
      </c>
      <c r="BU28" s="79">
        <f t="shared" si="19"/>
        <v>0</v>
      </c>
      <c r="BV28" s="112">
        <f t="shared" si="20"/>
        <v>0</v>
      </c>
      <c r="BW28" s="55">
        <f t="shared" si="21"/>
        <v>-5.0125418235442863E-3</v>
      </c>
      <c r="BX28" s="134">
        <f>BV28+BW28</f>
        <v>-5.0125418235442863E-3</v>
      </c>
      <c r="BY28" s="134"/>
      <c r="BZ28" s="391">
        <f t="shared" si="69"/>
        <v>2468.3427071206756</v>
      </c>
      <c r="CA28" s="242">
        <f>BZ28*$AK$30</f>
        <v>1727.8398949844729</v>
      </c>
      <c r="CB28" s="242">
        <f>CA28*(1-DD27)</f>
        <v>401.79613559637733</v>
      </c>
      <c r="CC28" s="149">
        <f>CB28*EXP(BV28*$AK$36)-CB28</f>
        <v>0</v>
      </c>
      <c r="CD28" s="17">
        <f>BZ28+CC28</f>
        <v>2468.3427071206756</v>
      </c>
      <c r="CE28" s="269">
        <f>CD28-CF28</f>
        <v>181.17429831080153</v>
      </c>
      <c r="CF28" s="136">
        <f t="shared" si="24"/>
        <v>2287.1684088098741</v>
      </c>
      <c r="CG28" s="246">
        <f>IF($B$33=0,0, IF($B$33=1,Colony!AF28,IF($B$33=2,Colony!AG28,IF($B$33=3,Colony!AH28,IF($B$33=4,Colony!AI28,IF($B$33="X",Colony!AK28,"error"))))))</f>
        <v>0</v>
      </c>
      <c r="CH28" s="138">
        <f>IF(CZ28&gt;CO28*CY28,-CO28*CY28,-CZ28)</f>
        <v>-0.10557950251160701</v>
      </c>
      <c r="CI28" s="98">
        <f>CG28+CH28</f>
        <v>-0.10557950251160701</v>
      </c>
      <c r="CJ28" s="268">
        <f>CF28+CI28</f>
        <v>2287.0628293073623</v>
      </c>
      <c r="CK28" s="136">
        <v>0</v>
      </c>
      <c r="CL28" s="95">
        <f>CJ28-CK28</f>
        <v>2287.0628293073623</v>
      </c>
      <c r="CM28" s="29">
        <f>LN(CL28/BZ28)/$AK$36</f>
        <v>-5.0155771811830341E-3</v>
      </c>
      <c r="CN28" s="274">
        <f t="shared" si="27"/>
        <v>40908</v>
      </c>
      <c r="CO28" s="89">
        <f t="shared" si="28"/>
        <v>2468.3427071206756</v>
      </c>
      <c r="CP28" s="21">
        <f t="shared" si="29"/>
        <v>0.15427141919504223</v>
      </c>
      <c r="CQ28" s="146">
        <f>CP28*315</f>
        <v>48.595497046438304</v>
      </c>
      <c r="CR28">
        <f t="shared" si="67"/>
        <v>100</v>
      </c>
      <c r="CS28">
        <f t="shared" si="63"/>
        <v>100</v>
      </c>
      <c r="CT28">
        <f>SUM(CR28:CS28)</f>
        <v>200</v>
      </c>
      <c r="CU28" s="17">
        <f t="shared" si="57"/>
        <v>0.68437499999999996</v>
      </c>
      <c r="CV28" s="18">
        <f t="shared" si="58"/>
        <v>0</v>
      </c>
      <c r="CW28" s="267">
        <f>CU28-CV28</f>
        <v>0.68437499999999996</v>
      </c>
      <c r="CX28" s="267">
        <f t="shared" si="65"/>
        <v>4.4999999999999998E-2</v>
      </c>
      <c r="CY28" s="104">
        <f>IF(CP28&gt;0.15,1,$AK$35)</f>
        <v>1</v>
      </c>
      <c r="CZ28" s="266">
        <f>CW28*CY28*CP28</f>
        <v>0.10557950251160701</v>
      </c>
      <c r="DB28" s="17">
        <f t="shared" si="66"/>
        <v>0</v>
      </c>
      <c r="DC28" s="165">
        <f>DZ$57</f>
        <v>11212.990456639631</v>
      </c>
      <c r="DD28" s="37">
        <f>DY$59</f>
        <v>0.76745754235522612</v>
      </c>
      <c r="DF28" s="18"/>
      <c r="DG28" s="18"/>
      <c r="DH28" s="2">
        <v>40908</v>
      </c>
      <c r="DI28" s="262">
        <v>43281</v>
      </c>
    </row>
    <row r="29" spans="1:130" ht="12.95" customHeight="1" x14ac:dyDescent="0.2">
      <c r="A29" s="450"/>
      <c r="B29" s="297" t="s">
        <v>83</v>
      </c>
      <c r="C29" s="454" t="s">
        <v>204</v>
      </c>
      <c r="D29" s="454"/>
      <c r="E29" s="454"/>
      <c r="F29" s="454"/>
      <c r="G29" s="454"/>
      <c r="H29" s="454"/>
      <c r="I29" s="454"/>
      <c r="J29" s="454"/>
      <c r="K29" s="454"/>
      <c r="L29" s="454"/>
      <c r="M29" s="454"/>
      <c r="N29" s="454"/>
      <c r="O29" s="454"/>
      <c r="P29" s="454"/>
      <c r="Q29" s="454"/>
      <c r="R29" s="454"/>
      <c r="S29" s="454"/>
      <c r="T29" s="361"/>
      <c r="U29" s="325" t="s">
        <v>323</v>
      </c>
      <c r="V29" s="327">
        <f>MAX(V4:V28)</f>
        <v>82532.998551331621</v>
      </c>
      <c r="W29" s="326" t="s">
        <v>321</v>
      </c>
      <c r="X29" s="323">
        <f>SUM(X4:X28)</f>
        <v>781</v>
      </c>
      <c r="Y29" s="314"/>
      <c r="Z29" s="314"/>
      <c r="AA29" s="314"/>
      <c r="AB29" s="314"/>
      <c r="AC29" s="314"/>
      <c r="AD29" s="314"/>
      <c r="AE29" s="243"/>
      <c r="AF29" s="243"/>
      <c r="AG29" s="243"/>
      <c r="AH29" s="243"/>
      <c r="AI29" s="458" t="s">
        <v>18</v>
      </c>
      <c r="AJ29" s="330">
        <f>B40</f>
        <v>1.45</v>
      </c>
      <c r="AK29" s="171">
        <f>IF($B$38="custom",C40*(1-$AK$39),IF($B$38="",AJ29*(1-B49),"error"))</f>
        <v>1.3774999999999999</v>
      </c>
      <c r="AL29" s="408" t="s">
        <v>132</v>
      </c>
      <c r="AR29" s="5"/>
      <c r="AS29" s="27"/>
      <c r="AT29" s="258">
        <f>AS29+12</f>
        <v>12</v>
      </c>
      <c r="BA29"/>
      <c r="BG29" s="73">
        <f>AS29+15</f>
        <v>15</v>
      </c>
      <c r="BN29" s="258" t="s">
        <v>143</v>
      </c>
      <c r="BO29" s="37">
        <f>MAX(BO4:BO28)</f>
        <v>0.9653312607677963</v>
      </c>
      <c r="BP29" s="104"/>
      <c r="BT29" s="258"/>
      <c r="CG29" s="247">
        <f>SUM(CG4:CG27)</f>
        <v>1000</v>
      </c>
      <c r="CH29" s="35">
        <f>SUM(CH5:CH28)</f>
        <v>-13443.749422716066</v>
      </c>
      <c r="CI29" s="98">
        <f>CG29+CH29</f>
        <v>-12443.749422716066</v>
      </c>
      <c r="DD29">
        <v>4</v>
      </c>
      <c r="DE29">
        <v>5</v>
      </c>
      <c r="DF29">
        <v>6</v>
      </c>
      <c r="DG29">
        <v>7</v>
      </c>
      <c r="DH29">
        <v>8</v>
      </c>
      <c r="DI29">
        <v>9</v>
      </c>
      <c r="DJ29">
        <v>10</v>
      </c>
      <c r="DK29">
        <v>11</v>
      </c>
      <c r="DL29">
        <v>12</v>
      </c>
      <c r="DM29">
        <v>13</v>
      </c>
      <c r="DN29">
        <v>14</v>
      </c>
      <c r="DO29">
        <v>15</v>
      </c>
      <c r="DP29">
        <v>16</v>
      </c>
      <c r="DQ29">
        <v>17</v>
      </c>
      <c r="DR29">
        <v>18</v>
      </c>
      <c r="DS29">
        <v>19</v>
      </c>
      <c r="DT29">
        <v>20</v>
      </c>
      <c r="DU29">
        <v>21</v>
      </c>
      <c r="DV29">
        <v>22</v>
      </c>
      <c r="DW29">
        <v>23</v>
      </c>
      <c r="DX29">
        <v>24</v>
      </c>
      <c r="DY29">
        <v>25</v>
      </c>
      <c r="DZ29">
        <v>26</v>
      </c>
    </row>
    <row r="30" spans="1:130" ht="12.95" customHeight="1" x14ac:dyDescent="0.2">
      <c r="A30" s="450"/>
      <c r="C30" s="454"/>
      <c r="D30" s="454"/>
      <c r="E30" s="454"/>
      <c r="F30" s="454"/>
      <c r="G30" s="454"/>
      <c r="H30" s="454"/>
      <c r="I30" s="454"/>
      <c r="J30" s="454"/>
      <c r="K30" s="454"/>
      <c r="L30" s="454"/>
      <c r="M30" s="454"/>
      <c r="N30" s="454"/>
      <c r="O30" s="454"/>
      <c r="P30" s="454"/>
      <c r="Q30" s="454"/>
      <c r="R30" s="454"/>
      <c r="S30" s="454"/>
      <c r="T30" s="324"/>
      <c r="U30" s="324"/>
      <c r="V30" s="64"/>
      <c r="W30" s="307"/>
      <c r="X30" s="64"/>
      <c r="Y30" s="64"/>
      <c r="Z30" s="64"/>
      <c r="AA30" s="64"/>
      <c r="AB30" s="64"/>
      <c r="AC30" s="64"/>
      <c r="AD30" s="64"/>
      <c r="AG30" s="11"/>
      <c r="AI30" s="458"/>
      <c r="AJ30" s="330">
        <f t="shared" ref="AJ30:AJ35" si="71">B41</f>
        <v>0.7</v>
      </c>
      <c r="AK30" s="61">
        <f t="shared" ref="AK30:AK35" si="72">IF($B$38="custom",C41,IF($B$38="",AJ30,"error"))</f>
        <v>0.7</v>
      </c>
      <c r="AL30" s="408" t="s">
        <v>239</v>
      </c>
      <c r="AS30" s="5"/>
      <c r="AT30" s="92">
        <f>(1+(AK29*AK30))</f>
        <v>1.9642499999999998</v>
      </c>
      <c r="AU30" s="398" t="s">
        <v>131</v>
      </c>
      <c r="AV30"/>
      <c r="AW30"/>
      <c r="BT30" s="398"/>
      <c r="DB30" t="s">
        <v>189</v>
      </c>
      <c r="DC30" s="17">
        <f>AN4</f>
        <v>1</v>
      </c>
      <c r="DD30" s="17">
        <f>AN5</f>
        <v>1125</v>
      </c>
      <c r="DE30" s="17">
        <f>AN6</f>
        <v>2250</v>
      </c>
      <c r="DF30" s="17">
        <f>AN7</f>
        <v>2250</v>
      </c>
      <c r="DG30" s="17">
        <f>AN8</f>
        <v>4500</v>
      </c>
      <c r="DH30" s="17">
        <f>AN9</f>
        <v>9000</v>
      </c>
      <c r="DI30" s="17">
        <f>AN10</f>
        <v>13500</v>
      </c>
      <c r="DJ30" s="17">
        <f>AN11</f>
        <v>22500</v>
      </c>
      <c r="DK30" s="17">
        <f>AN12</f>
        <v>27000</v>
      </c>
      <c r="DL30" s="17">
        <f>AN13</f>
        <v>29250</v>
      </c>
      <c r="DM30" s="17">
        <f>AN14</f>
        <v>31500</v>
      </c>
      <c r="DN30" s="17">
        <f>AN15</f>
        <v>29250</v>
      </c>
      <c r="DO30" s="17">
        <f>AN16</f>
        <v>27000</v>
      </c>
      <c r="DP30" s="17">
        <f>AN17</f>
        <v>22500</v>
      </c>
      <c r="DQ30" s="17">
        <f>AN18</f>
        <v>20250</v>
      </c>
      <c r="DR30" s="17">
        <f>AN19</f>
        <v>18000</v>
      </c>
      <c r="DS30" s="17">
        <f>AN20</f>
        <v>15750</v>
      </c>
      <c r="DT30" s="17">
        <f>AN21</f>
        <v>18000</v>
      </c>
      <c r="DU30" s="17">
        <f>AN22</f>
        <v>9000</v>
      </c>
      <c r="DV30" s="17">
        <f>AN23</f>
        <v>2250</v>
      </c>
      <c r="DW30" s="17">
        <f>AN24</f>
        <v>1</v>
      </c>
      <c r="DX30" s="17">
        <f>AN25</f>
        <v>1</v>
      </c>
      <c r="DY30" s="17">
        <f>AN26</f>
        <v>1</v>
      </c>
      <c r="DZ30" s="17">
        <f>AN27</f>
        <v>1</v>
      </c>
    </row>
    <row r="31" spans="1:130" x14ac:dyDescent="0.2">
      <c r="A31" s="450"/>
      <c r="B31" s="281">
        <v>75</v>
      </c>
      <c r="C31" s="6" t="s">
        <v>119</v>
      </c>
      <c r="G31" s="7" t="str">
        <f>IF(B29="p","a typ 3-lb package contains 100-500 mites.  Adjust this yellow cell until the mite wash count to the right matches that at installation","tweak your starting mite count  until your early season alcohol wash count matches that of the simulation on the same date (try 100 to start)&gt;&gt;&gt;")</f>
        <v>tweak your starting mite count  until your early season alcohol wash count matches that of the simulation on the same date (try 100 to start)&gt;&gt;&gt;</v>
      </c>
      <c r="Z31" s="459" t="s">
        <v>326</v>
      </c>
      <c r="AA31" s="459"/>
      <c r="AB31" s="460"/>
      <c r="AC31" s="460"/>
      <c r="AD31" s="460"/>
      <c r="AE31" s="460"/>
      <c r="AF31" s="460"/>
      <c r="AG31" s="460"/>
      <c r="AH31" s="460"/>
      <c r="AI31" s="458" t="s">
        <v>19</v>
      </c>
      <c r="AJ31" s="330">
        <f t="shared" si="71"/>
        <v>3.5</v>
      </c>
      <c r="AK31" s="171">
        <f t="shared" si="72"/>
        <v>3.5</v>
      </c>
      <c r="AL31" s="408" t="s">
        <v>118</v>
      </c>
      <c r="AT31">
        <f>LN(AT30)</f>
        <v>0.67511049307379378</v>
      </c>
      <c r="AU31" s="398" t="s">
        <v>130</v>
      </c>
      <c r="AV31"/>
      <c r="AW31"/>
      <c r="AX31"/>
      <c r="AY31" s="37"/>
      <c r="AZ31" s="37"/>
      <c r="BC31" s="398"/>
      <c r="BI31" s="37"/>
      <c r="BS31" s="10"/>
      <c r="BT31" s="13"/>
      <c r="CC31" s="17"/>
      <c r="CP31" s="68"/>
      <c r="DB31" s="169" t="s">
        <v>187</v>
      </c>
      <c r="DC31" s="2">
        <v>40544</v>
      </c>
      <c r="DD31" s="2">
        <v>40558</v>
      </c>
      <c r="DE31" s="2">
        <v>40575</v>
      </c>
      <c r="DF31" s="2">
        <v>40589</v>
      </c>
      <c r="DG31" s="2">
        <v>40603</v>
      </c>
      <c r="DH31" s="2">
        <v>40617</v>
      </c>
      <c r="DI31" s="2">
        <v>40634</v>
      </c>
      <c r="DJ31" s="2">
        <v>40648</v>
      </c>
      <c r="DK31" s="2">
        <v>40664</v>
      </c>
      <c r="DL31" s="2">
        <v>40678</v>
      </c>
      <c r="DM31" s="2">
        <v>40695</v>
      </c>
      <c r="DN31" s="2">
        <v>40709</v>
      </c>
      <c r="DO31" s="2">
        <v>40725</v>
      </c>
      <c r="DP31" s="2">
        <v>40739</v>
      </c>
      <c r="DQ31" s="2">
        <v>40756</v>
      </c>
      <c r="DR31" s="2">
        <v>40770</v>
      </c>
      <c r="DS31" s="2">
        <v>40787</v>
      </c>
      <c r="DT31" s="2">
        <v>40801</v>
      </c>
      <c r="DU31" s="2">
        <v>40817</v>
      </c>
      <c r="DV31" s="2">
        <v>40831</v>
      </c>
      <c r="DW31" s="2">
        <v>40848</v>
      </c>
      <c r="DX31" s="2">
        <v>40862</v>
      </c>
      <c r="DY31" s="2">
        <v>40878</v>
      </c>
      <c r="DZ31" s="2">
        <v>40892</v>
      </c>
    </row>
    <row r="32" spans="1:130" x14ac:dyDescent="0.2">
      <c r="A32" s="450"/>
      <c r="C32" t="s">
        <v>360</v>
      </c>
      <c r="N32" s="455" t="s">
        <v>361</v>
      </c>
      <c r="O32" s="456"/>
      <c r="P32" t="s">
        <v>362</v>
      </c>
      <c r="AA32" s="162"/>
      <c r="AI32" s="458"/>
      <c r="AJ32" s="330">
        <f t="shared" si="71"/>
        <v>0.7</v>
      </c>
      <c r="AK32" s="61">
        <f t="shared" si="72"/>
        <v>0.7</v>
      </c>
      <c r="AL32" s="408" t="s">
        <v>240</v>
      </c>
      <c r="AQ32">
        <f>LN(1885/1160)/23</f>
        <v>2.1109035468769601E-2</v>
      </c>
      <c r="AT32" s="92">
        <f>(LN(1+(AK29*AK30)))/12</f>
        <v>5.6259207756149482E-2</v>
      </c>
      <c r="AU32" t="s">
        <v>126</v>
      </c>
      <c r="AV32"/>
      <c r="AW32"/>
      <c r="AX32"/>
      <c r="AY32" s="37"/>
      <c r="AZ32" s="37"/>
      <c r="BA32"/>
      <c r="BE32" s="10"/>
      <c r="BS32" s="258"/>
      <c r="BT32" s="398"/>
      <c r="CP32" s="68"/>
      <c r="DB32" s="258" t="s">
        <v>183</v>
      </c>
      <c r="DC32" s="206">
        <f>$T4</f>
        <v>0</v>
      </c>
      <c r="DD32" s="206">
        <f>$T5</f>
        <v>0</v>
      </c>
      <c r="DE32" s="206">
        <f>$T6</f>
        <v>0</v>
      </c>
      <c r="DF32" s="206">
        <f>$T7</f>
        <v>0</v>
      </c>
      <c r="DG32" s="206">
        <f>$T8</f>
        <v>0</v>
      </c>
      <c r="DH32" s="206">
        <f>$T9</f>
        <v>0</v>
      </c>
      <c r="DI32" s="206">
        <f>$T10</f>
        <v>0</v>
      </c>
      <c r="DJ32" s="206">
        <f>$T11</f>
        <v>0</v>
      </c>
      <c r="DK32" s="206">
        <f>$T12</f>
        <v>0</v>
      </c>
      <c r="DL32" s="206">
        <f>$T13</f>
        <v>0</v>
      </c>
      <c r="DM32" s="206">
        <f>$T14</f>
        <v>0</v>
      </c>
      <c r="DN32" s="206">
        <f>$T15</f>
        <v>0</v>
      </c>
      <c r="DO32" s="206">
        <f>$T16</f>
        <v>0</v>
      </c>
      <c r="DP32" s="206">
        <f>$T17</f>
        <v>0</v>
      </c>
      <c r="DQ32" s="206">
        <f>$T18</f>
        <v>0</v>
      </c>
      <c r="DR32" s="206">
        <f>$T19</f>
        <v>0</v>
      </c>
      <c r="DS32" s="206">
        <f>$T20</f>
        <v>0</v>
      </c>
      <c r="DT32" s="206">
        <f>$T21</f>
        <v>0</v>
      </c>
      <c r="DU32" s="206">
        <f>$T22</f>
        <v>0</v>
      </c>
      <c r="DV32" s="206">
        <f>$T23</f>
        <v>0</v>
      </c>
      <c r="DW32" s="206">
        <f>$T24</f>
        <v>0</v>
      </c>
      <c r="DX32" s="206">
        <f>$T25</f>
        <v>0</v>
      </c>
      <c r="DY32" s="206">
        <f>$T26</f>
        <v>0</v>
      </c>
      <c r="DZ32" s="206">
        <f>$T27</f>
        <v>0</v>
      </c>
    </row>
    <row r="33" spans="1:130" x14ac:dyDescent="0.2">
      <c r="A33" s="450"/>
      <c r="B33" s="281">
        <v>2</v>
      </c>
      <c r="C33" s="6" t="s">
        <v>120</v>
      </c>
      <c r="G33" t="s">
        <v>334</v>
      </c>
      <c r="AJ33" s="372">
        <f t="shared" si="71"/>
        <v>5.0000000000000001E-3</v>
      </c>
      <c r="AK33" s="61">
        <f t="shared" si="72"/>
        <v>5.0000000000000001E-3</v>
      </c>
      <c r="AL33" s="408" t="s">
        <v>354</v>
      </c>
      <c r="AQ33">
        <f>1160*EXP(AQ32*45)</f>
        <v>2999.1430600487124</v>
      </c>
      <c r="AT33" s="92">
        <f>12/17*AT32+5/17*AQ37</f>
        <v>3.823810493859249E-2</v>
      </c>
      <c r="AU33" s="258" t="s">
        <v>125</v>
      </c>
      <c r="AV33"/>
      <c r="AW33"/>
      <c r="AX33"/>
      <c r="AY33" s="37"/>
      <c r="AZ33" s="37"/>
      <c r="BC33" s="54"/>
      <c r="BD33" s="54"/>
      <c r="BE33" s="55"/>
      <c r="BM33" s="14"/>
      <c r="BN33" s="15"/>
      <c r="BO33" s="15"/>
      <c r="BP33" s="15"/>
      <c r="BQ33" s="15"/>
      <c r="BR33" s="408"/>
      <c r="BS33" s="258"/>
      <c r="BT33" s="398"/>
      <c r="BZ33" s="17"/>
      <c r="CA33" s="17"/>
      <c r="CB33" s="17"/>
      <c r="CC33" s="17"/>
      <c r="CD33" s="17"/>
      <c r="CE33" s="17"/>
      <c r="CF33" s="17"/>
      <c r="CG33" s="31"/>
      <c r="DB33" s="275">
        <f t="shared" ref="DB33:DB56" si="73">U4</f>
        <v>40544</v>
      </c>
      <c r="DC33" s="163">
        <f>BZ4</f>
        <v>75</v>
      </c>
      <c r="DD33" s="17">
        <f>DC33*(1-DC$32)*EXP($AQ$38*15)</f>
        <v>68.52625994402959</v>
      </c>
      <c r="DE33" s="17">
        <f t="shared" ref="DE33:DT48" si="74">DD33*(1-DD$32)*EXP($AQ$38*15)</f>
        <v>62.611310692222865</v>
      </c>
      <c r="DF33" s="17">
        <f t="shared" si="74"/>
        <v>57.20691935908885</v>
      </c>
      <c r="DG33" s="17">
        <f t="shared" si="74"/>
        <v>52.269016354640819</v>
      </c>
      <c r="DH33" s="165">
        <f t="shared" si="74"/>
        <v>47.757336023158011</v>
      </c>
      <c r="DI33" s="165">
        <f t="shared" si="74"/>
        <v>43.635088300763925</v>
      </c>
      <c r="DJ33" s="165">
        <f t="shared" si="74"/>
        <v>39.868658714384445</v>
      </c>
      <c r="DK33" s="165">
        <f t="shared" si="74"/>
        <v>36.427334275756124</v>
      </c>
      <c r="DL33" s="165">
        <f t="shared" si="74"/>
        <v>33.283053035313642</v>
      </c>
      <c r="DM33" s="165">
        <f t="shared" si="74"/>
        <v>30.410175253717679</v>
      </c>
      <c r="DN33" s="165">
        <f t="shared" si="74"/>
        <v>27.785274325063384</v>
      </c>
      <c r="DO33" s="165">
        <f t="shared" si="74"/>
        <v>25.386945746872865</v>
      </c>
      <c r="DP33" s="165">
        <f t="shared" si="74"/>
        <v>23.195632579135822</v>
      </c>
      <c r="DQ33" s="165">
        <f t="shared" si="74"/>
        <v>21.19346596912084</v>
      </c>
      <c r="DR33" s="165">
        <f t="shared" si="74"/>
        <v>19.364119441532264</v>
      </c>
      <c r="DS33" s="165">
        <f t="shared" si="74"/>
        <v>17.692675765835695</v>
      </c>
      <c r="DT33" s="165">
        <f t="shared" si="74"/>
        <v>16.165505315134531</v>
      </c>
      <c r="DU33" s="165">
        <f t="shared" ref="DU33:DZ48" si="75">DT33*(1-DT$32)*EXP($AQ$38*15)</f>
        <v>14.770154924686679</v>
      </c>
      <c r="DV33" s="165">
        <f t="shared" si="75"/>
        <v>13.49524634376891</v>
      </c>
      <c r="DW33" s="165">
        <f t="shared" si="75"/>
        <v>12.330383452824311</v>
      </c>
      <c r="DX33" s="165">
        <f t="shared" si="75"/>
        <v>11.266067489304</v>
      </c>
      <c r="DY33" s="165">
        <f t="shared" si="75"/>
        <v>10.293619590920356</v>
      </c>
      <c r="DZ33" s="165">
        <f t="shared" si="75"/>
        <v>9.4051100246981854</v>
      </c>
    </row>
    <row r="34" spans="1:130" ht="13.5" thickBot="1" x14ac:dyDescent="0.25">
      <c r="A34" s="450"/>
      <c r="C34" t="s">
        <v>264</v>
      </c>
      <c r="V34" s="64"/>
      <c r="Z34" s="64"/>
      <c r="AJ34" s="372">
        <f t="shared" si="71"/>
        <v>6.0000000000000001E-3</v>
      </c>
      <c r="AK34" s="61">
        <f t="shared" si="72"/>
        <v>6.0000000000000001E-3</v>
      </c>
      <c r="AL34" s="408" t="s">
        <v>355</v>
      </c>
      <c r="AR34"/>
      <c r="AS34"/>
      <c r="AV34"/>
      <c r="AW34"/>
      <c r="AX34"/>
      <c r="AY34" s="37"/>
      <c r="AZ34" s="37"/>
      <c r="BC34"/>
      <c r="BD34"/>
      <c r="BE34" s="55"/>
      <c r="BM34" s="14"/>
      <c r="BN34" s="15"/>
      <c r="BO34" s="15"/>
      <c r="BP34" s="15"/>
      <c r="BQ34" s="15"/>
      <c r="BR34" s="408"/>
      <c r="BS34" s="258"/>
      <c r="BT34" s="398"/>
      <c r="BZ34" s="17"/>
      <c r="CA34" s="17"/>
      <c r="CB34" s="17"/>
      <c r="CC34" s="17"/>
      <c r="CD34" s="17"/>
      <c r="CE34" s="17"/>
      <c r="CF34" s="17"/>
      <c r="CG34" s="31"/>
      <c r="DB34" s="275">
        <f t="shared" si="73"/>
        <v>40558</v>
      </c>
      <c r="DD34" s="163">
        <f>DB5</f>
        <v>11.706989663918971</v>
      </c>
      <c r="DE34" s="17">
        <f t="shared" si="74"/>
        <v>10.696482891623722</v>
      </c>
      <c r="DF34" s="17">
        <f t="shared" si="74"/>
        <v>9.773199561576968</v>
      </c>
      <c r="DG34" s="17">
        <f t="shared" si="74"/>
        <v>8.9296108485533257</v>
      </c>
      <c r="DH34" s="17">
        <f t="shared" si="74"/>
        <v>8.158837789426558</v>
      </c>
      <c r="DI34" s="165">
        <f t="shared" si="74"/>
        <v>7.4545951893255484</v>
      </c>
      <c r="DJ34" s="165">
        <f>DI34*(1-DI$32)*EXP($AQ$38*15)</f>
        <v>6.8111403696164672</v>
      </c>
      <c r="DK34" s="165">
        <f t="shared" si="74"/>
        <v>6.2232263397814913</v>
      </c>
      <c r="DL34" s="165">
        <f t="shared" si="74"/>
        <v>5.686059011338644</v>
      </c>
      <c r="DM34" s="165">
        <f t="shared" si="74"/>
        <v>5.1952581049077846</v>
      </c>
      <c r="DN34" s="165">
        <f t="shared" si="74"/>
        <v>4.7468214316431654</v>
      </c>
      <c r="DO34" s="165">
        <f t="shared" si="74"/>
        <v>4.337092257768937</v>
      </c>
      <c r="DP34" s="165">
        <f t="shared" si="74"/>
        <v>3.9627294860948319</v>
      </c>
      <c r="DQ34" s="165">
        <f t="shared" si="74"/>
        <v>3.6206804113600701</v>
      </c>
      <c r="DR34" s="165">
        <f t="shared" si="74"/>
        <v>3.3081558272415492</v>
      </c>
      <c r="DS34" s="165">
        <f t="shared" si="74"/>
        <v>3.022607282038809</v>
      </c>
      <c r="DT34" s="165">
        <f t="shared" si="74"/>
        <v>2.7617062975694426</v>
      </c>
      <c r="DU34" s="165">
        <f t="shared" si="75"/>
        <v>2.523325381817429</v>
      </c>
      <c r="DV34" s="165">
        <f t="shared" si="75"/>
        <v>2.3055206805038515</v>
      </c>
      <c r="DW34" s="165">
        <f t="shared" si="75"/>
        <v>2.106516126113906</v>
      </c>
      <c r="DX34" s="165">
        <f t="shared" si="75"/>
        <v>1.9246889551249569</v>
      </c>
      <c r="DY34" s="165">
        <f t="shared" si="75"/>
        <v>1.7585564753372736</v>
      </c>
      <c r="DZ34" s="165">
        <f t="shared" si="75"/>
        <v>1.606763975402913</v>
      </c>
    </row>
    <row r="35" spans="1:130" ht="18.75" thickTop="1" x14ac:dyDescent="0.2">
      <c r="A35" s="450"/>
      <c r="B35" s="461" t="s">
        <v>206</v>
      </c>
      <c r="C35" s="461"/>
      <c r="D35" s="461"/>
      <c r="E35" s="461"/>
      <c r="F35" s="461"/>
      <c r="G35" s="461"/>
      <c r="H35" s="461"/>
      <c r="I35" s="461"/>
      <c r="J35" s="461"/>
      <c r="K35" s="461"/>
      <c r="L35" s="461"/>
      <c r="M35" s="461"/>
      <c r="N35" s="461"/>
      <c r="O35" s="461"/>
      <c r="P35" s="461"/>
      <c r="Q35" s="461"/>
      <c r="R35" s="461"/>
      <c r="S35" s="461"/>
      <c r="T35" s="461"/>
      <c r="U35" s="462" t="s">
        <v>340</v>
      </c>
      <c r="V35" s="463"/>
      <c r="W35" s="463"/>
      <c r="X35" s="463"/>
      <c r="Y35" s="463"/>
      <c r="Z35" s="463"/>
      <c r="AA35" s="464"/>
      <c r="AB35" s="355"/>
      <c r="AI35" s="60"/>
      <c r="AJ35" s="330">
        <f t="shared" si="71"/>
        <v>0.75</v>
      </c>
      <c r="AK35" s="171">
        <f t="shared" si="72"/>
        <v>0.75</v>
      </c>
      <c r="AL35" s="408" t="s">
        <v>134</v>
      </c>
      <c r="AV35"/>
      <c r="AW35"/>
      <c r="AY35" s="37"/>
      <c r="AZ35" s="37"/>
      <c r="BC35"/>
      <c r="BD35"/>
      <c r="BE35" s="55"/>
      <c r="BM35" s="14"/>
      <c r="BN35" s="15"/>
      <c r="BO35" s="15"/>
      <c r="BP35" s="15"/>
      <c r="BQ35" s="15"/>
      <c r="BR35" s="408"/>
      <c r="BS35" s="258"/>
      <c r="BZ35" s="17"/>
      <c r="CA35" s="17"/>
      <c r="CB35" s="17"/>
      <c r="CC35" s="17"/>
      <c r="CD35" s="17"/>
      <c r="CE35" s="17"/>
      <c r="CF35" s="17"/>
      <c r="CG35" s="31"/>
      <c r="DB35" s="275">
        <f t="shared" si="73"/>
        <v>40575</v>
      </c>
      <c r="DE35" s="163">
        <f>DB6</f>
        <v>29.415176720966642</v>
      </c>
      <c r="DF35" s="17">
        <f t="shared" si="74"/>
        <v>26.876160617073708</v>
      </c>
      <c r="DG35" s="17">
        <f t="shared" si="74"/>
        <v>24.556303583241117</v>
      </c>
      <c r="DH35" s="17">
        <f t="shared" si="74"/>
        <v>22.436688568129149</v>
      </c>
      <c r="DI35" s="17">
        <f t="shared" si="74"/>
        <v>20.500031374704736</v>
      </c>
      <c r="DJ35" s="165">
        <f t="shared" si="74"/>
        <v>18.730539717917054</v>
      </c>
      <c r="DK35" s="165">
        <f t="shared" si="74"/>
        <v>17.113784448026063</v>
      </c>
      <c r="DL35" s="165">
        <f t="shared" si="74"/>
        <v>15.636581889487001</v>
      </c>
      <c r="DM35" s="165">
        <f t="shared" si="74"/>
        <v>14.286886335934556</v>
      </c>
      <c r="DN35" s="165">
        <f t="shared" si="74"/>
        <v>13.053691824627412</v>
      </c>
      <c r="DO35" s="165">
        <f t="shared" si="74"/>
        <v>11.926942389382294</v>
      </c>
      <c r="DP35" s="165">
        <f t="shared" si="74"/>
        <v>10.897450060163687</v>
      </c>
      <c r="DQ35" s="165">
        <f t="shared" si="74"/>
        <v>9.9568199406647704</v>
      </c>
      <c r="DR35" s="165">
        <f t="shared" si="74"/>
        <v>9.0973817529318861</v>
      </c>
      <c r="DS35" s="165">
        <f t="shared" si="74"/>
        <v>8.3121272908197614</v>
      </c>
      <c r="DT35" s="165">
        <f t="shared" si="74"/>
        <v>7.5946532722476991</v>
      </c>
      <c r="DU35" s="165">
        <f t="shared" si="75"/>
        <v>6.9391091242509439</v>
      </c>
      <c r="DV35" s="165">
        <f t="shared" si="75"/>
        <v>6.3401492750454365</v>
      </c>
      <c r="DW35" s="165">
        <f t="shared" si="75"/>
        <v>5.7928895640761917</v>
      </c>
      <c r="DX35" s="165">
        <f t="shared" si="75"/>
        <v>5.2928674145992192</v>
      </c>
      <c r="DY35" s="165">
        <f t="shared" si="75"/>
        <v>4.8360054440281326</v>
      </c>
      <c r="DZ35" s="165">
        <f t="shared" si="75"/>
        <v>4.4185782153095214</v>
      </c>
    </row>
    <row r="36" spans="1:130" ht="12.95" customHeight="1" thickBot="1" x14ac:dyDescent="0.25">
      <c r="B36" s="371" t="s">
        <v>353</v>
      </c>
      <c r="U36" s="465"/>
      <c r="V36" s="466"/>
      <c r="W36" s="466"/>
      <c r="X36" s="466"/>
      <c r="Y36" s="466"/>
      <c r="Z36" s="466"/>
      <c r="AA36" s="467"/>
      <c r="AB36" s="355"/>
      <c r="AJ36" s="12"/>
      <c r="AK36">
        <v>15.208333333333334</v>
      </c>
      <c r="AL36" s="236" t="s">
        <v>300</v>
      </c>
      <c r="AP36" t="s">
        <v>217</v>
      </c>
      <c r="AV36"/>
      <c r="AW36"/>
      <c r="AY36" s="37"/>
      <c r="AZ36" s="37"/>
      <c r="BC36"/>
      <c r="BD36"/>
      <c r="BE36" s="55"/>
      <c r="BL36" s="37"/>
      <c r="BM36" s="14"/>
      <c r="BN36" s="15"/>
      <c r="BO36" s="15"/>
      <c r="BP36" s="15"/>
      <c r="BQ36" s="15"/>
      <c r="BR36" s="408"/>
      <c r="BS36" s="258"/>
      <c r="BZ36" s="17"/>
      <c r="CA36" s="17"/>
      <c r="CB36" s="17"/>
      <c r="CC36" s="17"/>
      <c r="CD36" s="17"/>
      <c r="CE36" s="17"/>
      <c r="CF36" s="17"/>
      <c r="CG36" s="31"/>
      <c r="DB36" s="275">
        <f t="shared" si="73"/>
        <v>40589</v>
      </c>
      <c r="DF36" s="163">
        <f>DB7</f>
        <v>38.512607078500636</v>
      </c>
      <c r="DG36" s="17">
        <f t="shared" si="74"/>
        <v>35.188332317114785</v>
      </c>
      <c r="DH36" s="17">
        <f t="shared" si="74"/>
        <v>32.15099743146007</v>
      </c>
      <c r="DI36" s="17">
        <f t="shared" si="74"/>
        <v>29.37583476597414</v>
      </c>
      <c r="DJ36" s="17">
        <f t="shared" si="74"/>
        <v>26.840214523280078</v>
      </c>
      <c r="DK36" s="165">
        <f t="shared" si="74"/>
        <v>24.523460231677454</v>
      </c>
      <c r="DL36" s="165">
        <f t="shared" si="74"/>
        <v>22.40668014084002</v>
      </c>
      <c r="DM36" s="165">
        <f t="shared" si="74"/>
        <v>20.472613170852387</v>
      </c>
      <c r="DN36" s="165">
        <f t="shared" si="74"/>
        <v>18.70548815839193</v>
      </c>
      <c r="DO36" s="165">
        <f t="shared" si="74"/>
        <v>17.090895252292437</v>
      </c>
      <c r="DP36" s="165">
        <f t="shared" si="74"/>
        <v>15.615668409796971</v>
      </c>
      <c r="DQ36" s="165">
        <f t="shared" si="74"/>
        <v>14.267778035326913</v>
      </c>
      <c r="DR36" s="165">
        <f t="shared" si="74"/>
        <v>13.036232886300372</v>
      </c>
      <c r="DS36" s="165">
        <f t="shared" si="74"/>
        <v>11.910990446100353</v>
      </c>
      <c r="DT36" s="165">
        <f t="shared" si="74"/>
        <v>10.882875033337678</v>
      </c>
      <c r="DU36" s="165">
        <f t="shared" si="75"/>
        <v>9.9435029796384988</v>
      </c>
      <c r="DV36" s="165">
        <f t="shared" si="75"/>
        <v>9.0852142658258739</v>
      </c>
      <c r="DW36" s="165">
        <f t="shared" si="75"/>
        <v>8.3010100590291973</v>
      </c>
      <c r="DX36" s="165">
        <f t="shared" si="75"/>
        <v>7.5844956413738567</v>
      </c>
      <c r="DY36" s="165">
        <f t="shared" si="75"/>
        <v>6.9298282648685916</v>
      </c>
      <c r="DZ36" s="165">
        <f t="shared" si="75"/>
        <v>6.3316695072782494</v>
      </c>
    </row>
    <row r="37" spans="1:130" ht="12.95" customHeight="1" thickTop="1" x14ac:dyDescent="0.2">
      <c r="B37" s="6" t="s">
        <v>207</v>
      </c>
      <c r="C37" s="398"/>
      <c r="AA37" s="66"/>
      <c r="AK37" s="412">
        <v>0.3</v>
      </c>
      <c r="AL37" s="408" t="s">
        <v>359</v>
      </c>
      <c r="AQ37" s="85">
        <f>LN(1-AK33)</f>
        <v>-5.0125418235442863E-3</v>
      </c>
      <c r="AR37" s="398" t="s">
        <v>178</v>
      </c>
      <c r="AY37" s="30"/>
      <c r="AZ37" s="30"/>
      <c r="BC37"/>
      <c r="BD37"/>
      <c r="BE37" s="55"/>
      <c r="BL37" s="37"/>
      <c r="BM37" s="14"/>
      <c r="BN37" s="15"/>
      <c r="BO37" s="15"/>
      <c r="BP37" s="15"/>
      <c r="BQ37" s="15"/>
      <c r="BR37" s="408"/>
      <c r="BS37" s="258"/>
      <c r="CG37" s="31"/>
      <c r="DB37" s="275">
        <f t="shared" si="73"/>
        <v>40603</v>
      </c>
      <c r="DG37" s="163">
        <f>DB8</f>
        <v>55.218805733408004</v>
      </c>
      <c r="DH37" s="17">
        <f>DG37*(1-DG$32)*EXP($AQ$38*15)</f>
        <v>50.452509806485182</v>
      </c>
      <c r="DI37" s="17">
        <f t="shared" si="74"/>
        <v>46.097624024372081</v>
      </c>
      <c r="DJ37" s="17">
        <f t="shared" si="74"/>
        <v>42.118636889283536</v>
      </c>
      <c r="DK37" s="17">
        <f t="shared" si="74"/>
        <v>38.483102132843172</v>
      </c>
      <c r="DL37" s="165">
        <f t="shared" si="74"/>
        <v>35.161374136104676</v>
      </c>
      <c r="DM37" s="165">
        <f t="shared" si="74"/>
        <v>32.126366187199842</v>
      </c>
      <c r="DN37" s="165">
        <f t="shared" si="74"/>
        <v>29.353329605348524</v>
      </c>
      <c r="DO37" s="165">
        <f t="shared" si="74"/>
        <v>26.819651930118567</v>
      </c>
      <c r="DP37" s="165">
        <f t="shared" si="74"/>
        <v>24.504672530289334</v>
      </c>
      <c r="DQ37" s="165">
        <f t="shared" si="74"/>
        <v>22.389514128719046</v>
      </c>
      <c r="DR37" s="165">
        <f t="shared" si="74"/>
        <v>20.456928869401661</v>
      </c>
      <c r="DS37" s="165">
        <f t="shared" si="74"/>
        <v>18.691157671481889</v>
      </c>
      <c r="DT37" s="165">
        <f t="shared" si="74"/>
        <v>17.077801723344145</v>
      </c>
      <c r="DU37" s="165">
        <f t="shared" si="75"/>
        <v>15.603705068886367</v>
      </c>
      <c r="DV37" s="165">
        <f t="shared" si="75"/>
        <v>14.256847328539726</v>
      </c>
      <c r="DW37" s="165">
        <f t="shared" si="75"/>
        <v>13.026245680238096</v>
      </c>
      <c r="DX37" s="165">
        <f t="shared" si="75"/>
        <v>11.901865301050512</v>
      </c>
      <c r="DY37" s="165">
        <f t="shared" si="75"/>
        <v>10.874537539181512</v>
      </c>
      <c r="DZ37" s="165">
        <f t="shared" si="75"/>
        <v>9.9358851490808036</v>
      </c>
    </row>
    <row r="38" spans="1:130" ht="12.95" customHeight="1" x14ac:dyDescent="0.2">
      <c r="B38" s="468"/>
      <c r="C38" s="469"/>
      <c r="D38" t="s">
        <v>208</v>
      </c>
      <c r="Y38" t="s">
        <v>217</v>
      </c>
      <c r="AB38" s="237"/>
      <c r="AK38" s="412">
        <v>7.0000000000000007E-2</v>
      </c>
      <c r="AL38" s="408" t="s">
        <v>243</v>
      </c>
      <c r="AQ38" s="85">
        <f>LN(1-AK34)</f>
        <v>-6.0180723255630212E-3</v>
      </c>
      <c r="AR38" s="398" t="s">
        <v>220</v>
      </c>
      <c r="AY38" s="30"/>
      <c r="AZ38" s="30"/>
      <c r="BB38" s="58"/>
      <c r="BC38"/>
      <c r="BD38"/>
      <c r="BE38" s="55"/>
      <c r="BL38" s="37"/>
      <c r="BM38" s="14"/>
      <c r="BN38" s="15"/>
      <c r="BO38" s="15"/>
      <c r="BP38" s="15"/>
      <c r="BQ38" s="15"/>
      <c r="BR38" s="408"/>
      <c r="BS38" s="258"/>
      <c r="CG38" s="31"/>
      <c r="DB38" s="275">
        <f t="shared" si="73"/>
        <v>40617</v>
      </c>
      <c r="DH38" s="163">
        <f>DB9</f>
        <v>95.350762647247365</v>
      </c>
      <c r="DI38" s="17">
        <f t="shared" si="74"/>
        <v>87.120415293689874</v>
      </c>
      <c r="DJ38" s="17">
        <f t="shared" si="74"/>
        <v>79.600482997962715</v>
      </c>
      <c r="DK38" s="17">
        <f t="shared" si="74"/>
        <v>72.729645194516024</v>
      </c>
      <c r="DL38" s="17">
        <f t="shared" si="74"/>
        <v>66.451874296485968</v>
      </c>
      <c r="DM38" s="165">
        <f t="shared" si="74"/>
        <v>60.715978824119688</v>
      </c>
      <c r="DN38" s="165">
        <f t="shared" si="74"/>
        <v>55.475185968770965</v>
      </c>
      <c r="DO38" s="165">
        <f t="shared" si="74"/>
        <v>50.686760188525099</v>
      </c>
      <c r="DP38" s="165">
        <f t="shared" si="74"/>
        <v>46.311654725327486</v>
      </c>
      <c r="DQ38" s="165">
        <f t="shared" si="74"/>
        <v>42.314193201945841</v>
      </c>
      <c r="DR38" s="165">
        <f t="shared" si="74"/>
        <v>38.661778702379074</v>
      </c>
      <c r="DS38" s="165">
        <f t="shared" si="74"/>
        <v>35.32462796343701</v>
      </c>
      <c r="DT38" s="165">
        <f t="shared" si="74"/>
        <v>32.275528509981619</v>
      </c>
      <c r="DU38" s="165">
        <f t="shared" si="75"/>
        <v>29.489616753412516</v>
      </c>
      <c r="DV38" s="165">
        <f t="shared" si="75"/>
        <v>26.944175243922082</v>
      </c>
      <c r="DW38" s="165">
        <f t="shared" si="75"/>
        <v>24.618447423233221</v>
      </c>
      <c r="DX38" s="165">
        <f t="shared" si="75"/>
        <v>22.493468367238737</v>
      </c>
      <c r="DY38" s="165">
        <f t="shared" si="75"/>
        <v>20.551910138349449</v>
      </c>
      <c r="DZ38" s="165">
        <f t="shared" si="75"/>
        <v>18.77794048649162</v>
      </c>
    </row>
    <row r="39" spans="1:130" ht="12.95" customHeight="1" x14ac:dyDescent="0.2">
      <c r="B39" s="111" t="str">
        <f>IF($B$38="","V","")</f>
        <v>V</v>
      </c>
      <c r="C39" s="111" t="str">
        <f>IF($B$38="custom","V","")</f>
        <v/>
      </c>
      <c r="D39" s="124" t="str">
        <f>IF($B$38="","Blue Default Values Apply--type 'custom' into the green cell to change",IF(B38="custom","Custom Values Apply--note the profound effects of tiny tweaks of some variables!","Error"))</f>
        <v>Blue Default Values Apply--type 'custom' into the green cell to change</v>
      </c>
      <c r="T39" t="s">
        <v>265</v>
      </c>
      <c r="AB39" s="237"/>
      <c r="AJ39" s="331">
        <f>B49</f>
        <v>0.05</v>
      </c>
      <c r="AK39" s="171">
        <f>IF($B$38="custom",C49,IF($B$38="",AJ39,"error"))</f>
        <v>0.05</v>
      </c>
      <c r="AL39" s="408" t="s">
        <v>324</v>
      </c>
      <c r="AP39" s="12"/>
      <c r="AY39" s="37"/>
      <c r="AZ39" s="37"/>
      <c r="BC39" s="20"/>
      <c r="BD39" s="20"/>
      <c r="BE39" s="99"/>
      <c r="BL39" s="37"/>
      <c r="BM39" s="14"/>
      <c r="BN39" s="15"/>
      <c r="BO39" s="15"/>
      <c r="BP39" s="15"/>
      <c r="BQ39" s="15"/>
      <c r="BR39" s="408"/>
      <c r="BS39" s="258"/>
      <c r="CG39" s="31"/>
      <c r="DB39" s="275">
        <f t="shared" si="73"/>
        <v>40634</v>
      </c>
      <c r="DI39" s="163">
        <f>DB10</f>
        <v>165.46661205981476</v>
      </c>
      <c r="DJ39" s="17">
        <f t="shared" si="74"/>
        <v>151.18410760091692</v>
      </c>
      <c r="DK39" s="17">
        <f t="shared" si="74"/>
        <v>138.13441942488765</v>
      </c>
      <c r="DL39" s="17">
        <f t="shared" si="74"/>
        <v>126.21113510303283</v>
      </c>
      <c r="DM39" s="17">
        <f t="shared" si="74"/>
        <v>115.31702735868622</v>
      </c>
      <c r="DN39" s="165">
        <f t="shared" si="74"/>
        <v>105.3632612367214</v>
      </c>
      <c r="DO39" s="165">
        <f t="shared" si="74"/>
        <v>96.268669707443578</v>
      </c>
      <c r="DP39" s="165">
        <f t="shared" si="74"/>
        <v>87.959091797842746</v>
      </c>
      <c r="DQ39" s="165">
        <f t="shared" si="74"/>
        <v>80.366767853063109</v>
      </c>
      <c r="DR39" s="165">
        <f t="shared" si="74"/>
        <v>73.429786996806456</v>
      </c>
      <c r="DS39" s="165">
        <f t="shared" si="74"/>
        <v>67.091582285038442</v>
      </c>
      <c r="DT39" s="165">
        <f t="shared" si="74"/>
        <v>61.300469436277275</v>
      </c>
      <c r="DU39" s="165">
        <f t="shared" si="75"/>
        <v>56.009225377085038</v>
      </c>
      <c r="DV39" s="165">
        <f t="shared" si="75"/>
        <v>51.174703166051579</v>
      </c>
      <c r="DW39" s="165">
        <f t="shared" si="75"/>
        <v>46.757480156205396</v>
      </c>
      <c r="DX39" s="165">
        <f t="shared" si="75"/>
        <v>42.721536526825822</v>
      </c>
      <c r="DY39" s="165">
        <f t="shared" si="75"/>
        <v>39.033961563274957</v>
      </c>
      <c r="DZ39" s="165">
        <f t="shared" si="75"/>
        <v>35.664685289736525</v>
      </c>
    </row>
    <row r="40" spans="1:130" ht="12.75" customHeight="1" x14ac:dyDescent="0.2">
      <c r="B40" s="120">
        <v>1.45</v>
      </c>
      <c r="C40" s="328">
        <v>1.45</v>
      </c>
      <c r="D40" s="408" t="s">
        <v>357</v>
      </c>
      <c r="T40" s="406" t="s">
        <v>217</v>
      </c>
      <c r="U40" s="470">
        <f>IF(B38="custom", C40*C41,B40*B41)</f>
        <v>1.0149999999999999</v>
      </c>
      <c r="V40" s="471" t="s">
        <v>198</v>
      </c>
      <c r="W40" s="472"/>
      <c r="X40" s="472"/>
      <c r="Y40" s="472"/>
      <c r="Z40" s="472"/>
      <c r="AA40" s="473"/>
      <c r="AB40" s="237"/>
      <c r="AY40" s="37"/>
      <c r="AZ40" s="37"/>
      <c r="BC40" s="12"/>
      <c r="BD40" s="12"/>
      <c r="BE40" s="55"/>
      <c r="BL40" s="37"/>
      <c r="BM40" s="14"/>
      <c r="BN40" s="15"/>
      <c r="BO40" s="15"/>
      <c r="BP40" s="15"/>
      <c r="BQ40" s="15"/>
      <c r="BR40" s="408"/>
      <c r="BS40" s="258"/>
      <c r="CG40" s="31"/>
      <c r="DB40" s="275">
        <f t="shared" si="73"/>
        <v>40648</v>
      </c>
      <c r="DJ40" s="163">
        <f>DB11</f>
        <v>245.03106601148249</v>
      </c>
      <c r="DK40" s="17">
        <f t="shared" si="74"/>
        <v>223.88083365154034</v>
      </c>
      <c r="DL40" s="17">
        <f t="shared" si="74"/>
        <v>204.55621604388671</v>
      </c>
      <c r="DM40" s="17">
        <f t="shared" si="74"/>
        <v>186.89963245053943</v>
      </c>
      <c r="DN40" s="17">
        <f t="shared" si="74"/>
        <v>170.76710395665671</v>
      </c>
      <c r="DO40" s="165">
        <f t="shared" si="74"/>
        <v>156.02707940830643</v>
      </c>
      <c r="DP40" s="165">
        <f t="shared" si="74"/>
        <v>142.55936269121807</v>
      </c>
      <c r="DQ40" s="165">
        <f t="shared" si="74"/>
        <v>130.25413260311473</v>
      </c>
      <c r="DR40" s="165">
        <f t="shared" si="74"/>
        <v>119.01104732726854</v>
      </c>
      <c r="DS40" s="165">
        <f t="shared" si="74"/>
        <v>108.73842620479483</v>
      </c>
      <c r="DT40" s="165">
        <f t="shared" si="74"/>
        <v>99.352502133526002</v>
      </c>
      <c r="DU40" s="165">
        <f t="shared" si="75"/>
        <v>90.776738497223434</v>
      </c>
      <c r="DV40" s="165">
        <f t="shared" si="75"/>
        <v>82.941205055092425</v>
      </c>
      <c r="DW40" s="165">
        <f t="shared" si="75"/>
        <v>75.782007702350995</v>
      </c>
      <c r="DX40" s="165">
        <f t="shared" si="75"/>
        <v>69.240767451890093</v>
      </c>
      <c r="DY40" s="165">
        <f t="shared" si="75"/>
        <v>63.264144388430992</v>
      </c>
      <c r="DZ40" s="165">
        <f t="shared" si="75"/>
        <v>57.803402713309914</v>
      </c>
    </row>
    <row r="41" spans="1:130" ht="12.75" customHeight="1" x14ac:dyDescent="0.2">
      <c r="B41" s="110">
        <v>0.7</v>
      </c>
      <c r="C41" s="252">
        <v>0.7</v>
      </c>
      <c r="D41" s="236" t="s">
        <v>235</v>
      </c>
      <c r="R41" s="459" t="s">
        <v>217</v>
      </c>
      <c r="S41" s="459"/>
      <c r="U41" s="470"/>
      <c r="V41" s="474"/>
      <c r="W41" s="475"/>
      <c r="X41" s="475"/>
      <c r="Y41" s="475"/>
      <c r="Z41" s="475"/>
      <c r="AA41" s="476"/>
      <c r="AB41" s="407"/>
      <c r="AC41" s="407"/>
      <c r="AD41" s="407"/>
      <c r="AE41" s="407"/>
      <c r="AJ41" s="87">
        <v>5</v>
      </c>
      <c r="AK41" s="61">
        <f>IF($B$38="custom",C48,IF($B$38="",AJ41,"error"))</f>
        <v>5</v>
      </c>
      <c r="AL41" t="s">
        <v>6</v>
      </c>
      <c r="AY41" s="37"/>
      <c r="AZ41" s="37"/>
      <c r="BC41"/>
      <c r="BD41"/>
      <c r="BE41" s="55"/>
      <c r="BL41" s="37"/>
      <c r="BM41" s="14"/>
      <c r="BN41" s="15"/>
      <c r="BO41" s="15"/>
      <c r="BP41" s="15"/>
      <c r="BQ41" s="15"/>
      <c r="BR41" s="408"/>
      <c r="BS41" s="258"/>
      <c r="CG41" s="31"/>
      <c r="DB41" s="275">
        <f t="shared" si="73"/>
        <v>40664</v>
      </c>
      <c r="DD41" s="164" t="s">
        <v>188</v>
      </c>
      <c r="DE41" s="164"/>
      <c r="DF41" s="164"/>
      <c r="DG41" s="164"/>
      <c r="DK41" s="163">
        <f>DB12</f>
        <v>384.4391687143771</v>
      </c>
      <c r="DL41" s="17">
        <f t="shared" si="74"/>
        <v>351.25571210650742</v>
      </c>
      <c r="DM41" s="17">
        <f t="shared" si="74"/>
        <v>320.93653646181002</v>
      </c>
      <c r="DN41" s="17">
        <f t="shared" si="74"/>
        <v>293.23440697491367</v>
      </c>
      <c r="DO41" s="17">
        <f t="shared" si="74"/>
        <v>267.92342929195064</v>
      </c>
      <c r="DP41" s="165">
        <f t="shared" si="74"/>
        <v>244.79720747674725</v>
      </c>
      <c r="DQ41" s="165">
        <f t="shared" si="74"/>
        <v>223.66716097498838</v>
      </c>
      <c r="DR41" s="165">
        <f t="shared" si="74"/>
        <v>204.36098685220222</v>
      </c>
      <c r="DS41" s="165">
        <f t="shared" si="74"/>
        <v>186.72125476603233</v>
      </c>
      <c r="DT41" s="165">
        <f t="shared" si="74"/>
        <v>170.60412321563342</v>
      </c>
      <c r="DU41" s="165">
        <f t="shared" si="75"/>
        <v>155.87816659997</v>
      </c>
      <c r="DV41" s="165">
        <f t="shared" si="75"/>
        <v>142.42330352037729</v>
      </c>
      <c r="DW41" s="165">
        <f t="shared" si="75"/>
        <v>130.12981758833067</v>
      </c>
      <c r="DX41" s="165">
        <f t="shared" si="75"/>
        <v>118.8974627536947</v>
      </c>
      <c r="DY41" s="165">
        <f t="shared" si="75"/>
        <v>108.6346458579368</v>
      </c>
      <c r="DZ41" s="165">
        <f t="shared" si="75"/>
        <v>99.257679746514341</v>
      </c>
    </row>
    <row r="42" spans="1:130" ht="12.95" customHeight="1" x14ac:dyDescent="0.2">
      <c r="B42" s="120">
        <v>3.5</v>
      </c>
      <c r="C42" s="328">
        <v>3.5</v>
      </c>
      <c r="D42" s="408" t="s">
        <v>201</v>
      </c>
      <c r="E42" s="12"/>
      <c r="F42" s="12"/>
      <c r="G42" s="12"/>
      <c r="H42" s="12"/>
      <c r="I42" s="12"/>
      <c r="J42" s="12"/>
      <c r="K42" s="12"/>
      <c r="O42" s="480" t="s">
        <v>199</v>
      </c>
      <c r="P42" s="482" t="s">
        <v>200</v>
      </c>
      <c r="Q42" s="482"/>
      <c r="R42" s="482"/>
      <c r="S42" s="482"/>
      <c r="T42" s="483"/>
      <c r="V42" s="477"/>
      <c r="W42" s="478"/>
      <c r="X42" s="478"/>
      <c r="Y42" s="478"/>
      <c r="Z42" s="478"/>
      <c r="AA42" s="479"/>
      <c r="AJ42" s="87">
        <v>5</v>
      </c>
      <c r="AK42" s="61">
        <f>IF($B$38="custom",$C$47,IF($B$38="",AJ42,"error"))</f>
        <v>5</v>
      </c>
      <c r="AL42" t="s">
        <v>295</v>
      </c>
      <c r="AY42" s="37"/>
      <c r="AZ42" s="37"/>
      <c r="BC42"/>
      <c r="BD42"/>
      <c r="BE42" s="55"/>
      <c r="BL42" s="37"/>
      <c r="BM42" s="14"/>
      <c r="BN42" s="15"/>
      <c r="BO42" s="15"/>
      <c r="BP42" s="15"/>
      <c r="BQ42" s="15"/>
      <c r="BR42" s="408"/>
      <c r="BS42" s="258"/>
      <c r="CG42" s="31"/>
      <c r="DB42" s="275">
        <f t="shared" si="73"/>
        <v>40678</v>
      </c>
      <c r="DL42" s="163">
        <f>DB13</f>
        <v>547.21256176081943</v>
      </c>
      <c r="DM42" s="17">
        <f t="shared" si="74"/>
        <v>499.97907002480349</v>
      </c>
      <c r="DN42" s="17">
        <f t="shared" si="74"/>
        <v>456.82260958791812</v>
      </c>
      <c r="DO42" s="17">
        <f t="shared" si="74"/>
        <v>417.39126523908834</v>
      </c>
      <c r="DP42" s="17">
        <f t="shared" si="74"/>
        <v>381.36349786854896</v>
      </c>
      <c r="DQ42" s="165">
        <f t="shared" si="74"/>
        <v>348.44552250806083</v>
      </c>
      <c r="DR42" s="165">
        <f t="shared" si="74"/>
        <v>318.3689126896079</v>
      </c>
      <c r="DS42" s="165">
        <f t="shared" si="74"/>
        <v>290.88841158754843</v>
      </c>
      <c r="DT42" s="165">
        <f t="shared" si="74"/>
        <v>265.77993209538954</v>
      </c>
      <c r="DU42" s="165">
        <f t="shared" si="75"/>
        <v>242.83872952900265</v>
      </c>
      <c r="DV42" s="165">
        <f t="shared" si="75"/>
        <v>221.87773205576443</v>
      </c>
      <c r="DW42" s="165">
        <f t="shared" si="75"/>
        <v>202.72601523526748</v>
      </c>
      <c r="DX42" s="165">
        <f t="shared" si="75"/>
        <v>185.22740823238991</v>
      </c>
      <c r="DY42" s="165">
        <f t="shared" si="75"/>
        <v>169.23922033722184</v>
      </c>
      <c r="DZ42" s="165">
        <f t="shared" si="75"/>
        <v>154.63107740737817</v>
      </c>
    </row>
    <row r="43" spans="1:130" ht="12.95" customHeight="1" x14ac:dyDescent="0.2">
      <c r="B43" s="110">
        <v>0.7</v>
      </c>
      <c r="C43" s="252">
        <v>0.7</v>
      </c>
      <c r="D43" s="408" t="s">
        <v>236</v>
      </c>
      <c r="O43" s="481"/>
      <c r="P43" s="484"/>
      <c r="Q43" s="484"/>
      <c r="R43" s="484"/>
      <c r="S43" s="484"/>
      <c r="T43" s="485"/>
      <c r="AJ43" s="87">
        <v>4500</v>
      </c>
      <c r="AK43" s="61">
        <v>4500</v>
      </c>
      <c r="AL43" s="23" t="s">
        <v>13</v>
      </c>
      <c r="AY43" s="37"/>
      <c r="AZ43" s="37"/>
      <c r="BC43"/>
      <c r="BD43"/>
      <c r="BE43" s="55"/>
      <c r="BL43" s="37"/>
      <c r="BM43" s="14"/>
      <c r="BN43" s="15"/>
      <c r="BO43" s="15"/>
      <c r="BP43" s="15"/>
      <c r="BQ43" s="15"/>
      <c r="BR43" s="408"/>
      <c r="BS43" s="258"/>
      <c r="CG43" s="31"/>
      <c r="DB43" s="275">
        <f t="shared" si="73"/>
        <v>40695</v>
      </c>
      <c r="DM43" s="163">
        <f>DB14</f>
        <v>760.70260203341354</v>
      </c>
      <c r="DN43" s="17">
        <f t="shared" si="74"/>
        <v>695.0413899605519</v>
      </c>
      <c r="DO43" s="17">
        <f t="shared" si="74"/>
        <v>635.0478261372856</v>
      </c>
      <c r="DP43" s="17">
        <f t="shared" si="74"/>
        <v>580.23269881032729</v>
      </c>
      <c r="DQ43" s="17">
        <f t="shared" si="74"/>
        <v>530.14902328936432</v>
      </c>
      <c r="DR43" s="165">
        <f t="shared" si="74"/>
        <v>484.38839705333839</v>
      </c>
      <c r="DS43" s="165">
        <f t="shared" si="74"/>
        <v>442.57766947131847</v>
      </c>
      <c r="DT43" s="165">
        <f t="shared" si="74"/>
        <v>404.3758989815251</v>
      </c>
      <c r="DU43" s="165">
        <f t="shared" si="75"/>
        <v>369.47157291611524</v>
      </c>
      <c r="DV43" s="165">
        <f t="shared" si="75"/>
        <v>337.58006730105598</v>
      </c>
      <c r="DW43" s="165">
        <f t="shared" si="75"/>
        <v>308.4413259172689</v>
      </c>
      <c r="DX43" s="165">
        <f t="shared" si="75"/>
        <v>281.81773969717227</v>
      </c>
      <c r="DY43" s="165">
        <f t="shared" si="75"/>
        <v>257.49220916436394</v>
      </c>
      <c r="DZ43" s="165">
        <f t="shared" si="75"/>
        <v>235.26637411679525</v>
      </c>
    </row>
    <row r="44" spans="1:130" x14ac:dyDescent="0.2">
      <c r="B44" s="121">
        <v>5.0000000000000001E-3</v>
      </c>
      <c r="C44" s="254">
        <v>5.0000000000000001E-3</v>
      </c>
      <c r="D44" s="408" t="s">
        <v>351</v>
      </c>
      <c r="Y44" s="362" t="s">
        <v>217</v>
      </c>
      <c r="AF44" s="408"/>
      <c r="AG44" s="408"/>
      <c r="AH44" s="258"/>
      <c r="AJ44" s="87">
        <v>2000</v>
      </c>
      <c r="AK44" s="61">
        <v>2000</v>
      </c>
      <c r="AL44" s="398" t="s">
        <v>14</v>
      </c>
      <c r="AY44" s="37"/>
      <c r="AZ44" s="37"/>
      <c r="BC44"/>
      <c r="BD44"/>
      <c r="BE44" s="55"/>
      <c r="BL44" s="37"/>
      <c r="BM44" s="19"/>
      <c r="BN44" s="408"/>
      <c r="BO44" s="408"/>
      <c r="BP44" s="408"/>
      <c r="BQ44" s="408"/>
      <c r="BR44" s="408"/>
      <c r="CG44" s="31"/>
      <c r="DB44" s="275">
        <f t="shared" si="73"/>
        <v>40709</v>
      </c>
      <c r="DN44" s="163">
        <f>DB15</f>
        <v>1028.3024720365488</v>
      </c>
      <c r="DO44" s="17">
        <f t="shared" si="74"/>
        <v>939.54296666486357</v>
      </c>
      <c r="DP44" s="17">
        <f t="shared" si="74"/>
        <v>858.44487416348238</v>
      </c>
      <c r="DQ44" s="17">
        <f t="shared" si="74"/>
        <v>784.34688792728764</v>
      </c>
      <c r="DR44" s="17">
        <f t="shared" si="74"/>
        <v>716.6447830452795</v>
      </c>
      <c r="DS44" s="165">
        <f t="shared" si="74"/>
        <v>654.7864892065802</v>
      </c>
      <c r="DT44" s="165">
        <f t="shared" si="74"/>
        <v>598.26758889611529</v>
      </c>
      <c r="DU44" s="165">
        <f t="shared" si="75"/>
        <v>546.62720417044045</v>
      </c>
      <c r="DV44" s="165">
        <f>DU44*(1-DU$32)*EXP($AQ$38*15)</f>
        <v>499.4442384728232</v>
      </c>
      <c r="DW44" s="165">
        <f t="shared" si="75"/>
        <v>456.33394284182123</v>
      </c>
      <c r="DX44" s="165">
        <f t="shared" si="75"/>
        <v>416.94477851283449</v>
      </c>
      <c r="DY44" s="165">
        <f t="shared" si="75"/>
        <v>380.95555032901791</v>
      </c>
      <c r="DZ44" s="165">
        <f t="shared" si="75"/>
        <v>348.0727875862284</v>
      </c>
    </row>
    <row r="45" spans="1:130" x14ac:dyDescent="0.2">
      <c r="B45" s="121">
        <v>6.0000000000000001E-3</v>
      </c>
      <c r="C45" s="254">
        <v>0.02</v>
      </c>
      <c r="D45" s="408" t="s">
        <v>352</v>
      </c>
      <c r="J45" s="12"/>
      <c r="K45" s="12"/>
      <c r="L45" s="12"/>
      <c r="M45" s="12"/>
      <c r="U45" s="12"/>
      <c r="V45" s="351" t="s">
        <v>217</v>
      </c>
      <c r="W45" s="44"/>
      <c r="X45" s="12"/>
      <c r="AF45" s="408"/>
      <c r="AG45" s="408"/>
      <c r="AJ45" s="87"/>
      <c r="AK45" s="61"/>
      <c r="AT45" s="406"/>
      <c r="AY45" s="37"/>
      <c r="AZ45" s="37"/>
      <c r="BC45"/>
      <c r="BD45"/>
      <c r="BE45" s="55"/>
      <c r="BG45" s="14"/>
      <c r="BL45" s="37"/>
      <c r="BM45" s="19"/>
      <c r="BN45" s="408"/>
      <c r="BO45" s="408"/>
      <c r="BP45" s="408"/>
      <c r="BQ45" s="408"/>
      <c r="BR45" s="408"/>
      <c r="CG45" s="31"/>
      <c r="DB45" s="275">
        <f t="shared" si="73"/>
        <v>40725</v>
      </c>
      <c r="DO45" s="163">
        <f>DB16</f>
        <v>1346.0305863464546</v>
      </c>
      <c r="DP45" s="17">
        <f t="shared" si="74"/>
        <v>1229.8458913678896</v>
      </c>
      <c r="DQ45" s="17">
        <f t="shared" si="74"/>
        <v>1123.6898565729705</v>
      </c>
      <c r="DR45" s="17">
        <f t="shared" si="74"/>
        <v>1026.6968427731829</v>
      </c>
      <c r="DS45" s="17">
        <f t="shared" si="74"/>
        <v>938.07592975452815</v>
      </c>
      <c r="DT45" s="165">
        <f t="shared" si="74"/>
        <v>857.10446679461393</v>
      </c>
      <c r="DU45" s="165">
        <f t="shared" si="75"/>
        <v>783.12217987675467</v>
      </c>
      <c r="DV45" s="165">
        <f t="shared" si="75"/>
        <v>715.52578754892795</v>
      </c>
      <c r="DW45" s="165">
        <f t="shared" si="75"/>
        <v>653.76408152312445</v>
      </c>
      <c r="DX45" s="165">
        <f t="shared" si="75"/>
        <v>597.33343190031178</v>
      </c>
      <c r="DY45" s="165">
        <f t="shared" si="75"/>
        <v>545.77368036880091</v>
      </c>
      <c r="DZ45" s="165">
        <f t="shared" si="75"/>
        <v>498.66438788749565</v>
      </c>
    </row>
    <row r="46" spans="1:130" x14ac:dyDescent="0.2">
      <c r="B46" s="110">
        <v>0.75</v>
      </c>
      <c r="C46" s="252">
        <v>0.75</v>
      </c>
      <c r="D46" s="408" t="s">
        <v>358</v>
      </c>
      <c r="AA46" s="406" t="s">
        <v>217</v>
      </c>
      <c r="AF46" s="408"/>
      <c r="AG46" s="408"/>
      <c r="AJ46" s="170">
        <v>0.95</v>
      </c>
      <c r="AK46" s="171">
        <v>0.95</v>
      </c>
      <c r="AL46" t="s">
        <v>190</v>
      </c>
      <c r="AY46" s="37"/>
      <c r="AZ46" s="37"/>
      <c r="BC46"/>
      <c r="BD46"/>
      <c r="BE46" s="55"/>
      <c r="BG46" s="14"/>
      <c r="BJ46" s="44"/>
      <c r="BK46" s="54"/>
      <c r="BL46" s="54"/>
      <c r="BM46" s="54"/>
      <c r="BN46" s="54"/>
      <c r="BO46" s="54"/>
      <c r="BP46" s="54"/>
      <c r="BQ46" s="54"/>
      <c r="BS46" s="20"/>
      <c r="CG46" s="31"/>
      <c r="DB46" s="275">
        <f t="shared" si="73"/>
        <v>40739</v>
      </c>
      <c r="DP46" s="163">
        <f>DB17</f>
        <v>1683.0311719500014</v>
      </c>
      <c r="DQ46" s="17">
        <f t="shared" si="74"/>
        <v>1537.7577544393409</v>
      </c>
      <c r="DR46" s="17">
        <f t="shared" si="74"/>
        <v>1405.0238348221001</v>
      </c>
      <c r="DS46" s="17">
        <f t="shared" si="74"/>
        <v>1283.7470471010204</v>
      </c>
      <c r="DT46" s="17">
        <f t="shared" si="74"/>
        <v>1172.9384513603325</v>
      </c>
      <c r="DU46" s="165">
        <f t="shared" si="75"/>
        <v>1071.6944695502089</v>
      </c>
      <c r="DV46" s="165">
        <f t="shared" si="75"/>
        <v>979.18951734635368</v>
      </c>
      <c r="DW46" s="165">
        <f t="shared" si="75"/>
        <v>894.66927200193481</v>
      </c>
      <c r="DX46" s="165">
        <f t="shared" si="75"/>
        <v>817.44452129520403</v>
      </c>
      <c r="DY46" s="165">
        <f t="shared" si="75"/>
        <v>746.88554341463987</v>
      </c>
      <c r="DZ46" s="165">
        <f t="shared" si="75"/>
        <v>682.41697195292556</v>
      </c>
    </row>
    <row r="47" spans="1:130" x14ac:dyDescent="0.2">
      <c r="B47" s="9">
        <v>5</v>
      </c>
      <c r="C47" s="253">
        <v>5</v>
      </c>
      <c r="D47" t="s">
        <v>202</v>
      </c>
      <c r="J47" s="7"/>
      <c r="T47" s="12"/>
      <c r="Z47" s="406" t="s">
        <v>217</v>
      </c>
      <c r="AY47" s="37"/>
      <c r="AZ47" s="37"/>
      <c r="BC47"/>
      <c r="BD47"/>
      <c r="BE47" s="55"/>
      <c r="BG47" s="14"/>
      <c r="CG47" s="31"/>
      <c r="DB47" s="275">
        <f t="shared" si="73"/>
        <v>40756</v>
      </c>
      <c r="DQ47" s="163">
        <f>DB18</f>
        <v>2117.4432136649307</v>
      </c>
      <c r="DR47" s="17">
        <f t="shared" si="74"/>
        <v>1934.6728543509926</v>
      </c>
      <c r="DS47" s="17">
        <f t="shared" si="74"/>
        <v>1767.6785989855177</v>
      </c>
      <c r="DT47" s="17">
        <f t="shared" si="74"/>
        <v>1615.0987089543953</v>
      </c>
      <c r="DU47" s="17">
        <f t="shared" si="75"/>
        <v>1475.6889862010066</v>
      </c>
      <c r="DV47" s="165">
        <f t="shared" si="75"/>
        <v>1348.312627532689</v>
      </c>
      <c r="DW47" s="165">
        <f t="shared" si="75"/>
        <v>1231.9309546683014</v>
      </c>
      <c r="DX47" s="165">
        <f t="shared" si="75"/>
        <v>1125.5949444359542</v>
      </c>
      <c r="DY47" s="165">
        <f t="shared" si="75"/>
        <v>1028.4374900547166</v>
      </c>
      <c r="DZ47" s="165">
        <f t="shared" si="75"/>
        <v>939.66633039566477</v>
      </c>
    </row>
    <row r="48" spans="1:130" ht="12.95" customHeight="1" x14ac:dyDescent="0.25">
      <c r="B48" s="9">
        <v>5</v>
      </c>
      <c r="C48" s="329">
        <v>5</v>
      </c>
      <c r="D48" s="398" t="s">
        <v>263</v>
      </c>
      <c r="E48" s="236"/>
      <c r="F48" s="12"/>
      <c r="G48" s="12"/>
      <c r="H48" s="12"/>
      <c r="I48" s="12"/>
      <c r="J48" s="12"/>
      <c r="K48" s="12"/>
      <c r="L48" s="12"/>
      <c r="M48" s="12"/>
      <c r="N48" s="12"/>
      <c r="O48" s="12"/>
      <c r="P48" s="12"/>
      <c r="Q48" s="12"/>
      <c r="R48" s="12"/>
      <c r="S48" s="12"/>
      <c r="T48" s="12"/>
      <c r="X48" s="280" t="s">
        <v>217</v>
      </c>
      <c r="AJ48" s="6" t="s">
        <v>15</v>
      </c>
      <c r="AR48"/>
      <c r="AS48"/>
      <c r="AT48"/>
      <c r="AU48"/>
      <c r="AV48"/>
      <c r="AY48" s="37"/>
      <c r="AZ48" s="37"/>
      <c r="BC48"/>
      <c r="BD48"/>
      <c r="BE48" s="55"/>
      <c r="BG48" s="144"/>
      <c r="CG48" s="31"/>
      <c r="DB48" s="275">
        <f t="shared" si="73"/>
        <v>40770</v>
      </c>
      <c r="DR48" s="163">
        <f>DB19</f>
        <v>2744.1075537607235</v>
      </c>
      <c r="DS48" s="17">
        <f t="shared" si="74"/>
        <v>2507.2457005784336</v>
      </c>
      <c r="DT48" s="17">
        <f t="shared" si="74"/>
        <v>2290.8289416185112</v>
      </c>
      <c r="DU48" s="17">
        <f t="shared" si="75"/>
        <v>2093.0925272087507</v>
      </c>
      <c r="DV48" s="17">
        <f t="shared" si="75"/>
        <v>1912.4240347521693</v>
      </c>
      <c r="DW48" s="165">
        <f t="shared" si="75"/>
        <v>1747.3502203818273</v>
      </c>
      <c r="DX48" s="165">
        <f t="shared" si="75"/>
        <v>1596.5250055352333</v>
      </c>
      <c r="DY48" s="165">
        <f t="shared" si="75"/>
        <v>1458.7185004860091</v>
      </c>
      <c r="DZ48" s="165">
        <f t="shared" si="75"/>
        <v>1332.8069753262578</v>
      </c>
    </row>
    <row r="49" spans="2:130" x14ac:dyDescent="0.2">
      <c r="B49" s="332">
        <v>0.05</v>
      </c>
      <c r="C49" s="349">
        <v>0.05</v>
      </c>
      <c r="D49" s="408" t="s">
        <v>325</v>
      </c>
      <c r="AJ49" s="258" t="s">
        <v>16</v>
      </c>
      <c r="AK49" t="s">
        <v>117</v>
      </c>
      <c r="AR49"/>
      <c r="AS49"/>
      <c r="AT49"/>
      <c r="AU49"/>
      <c r="AV49" s="42"/>
      <c r="BC49"/>
      <c r="BD49"/>
      <c r="BE49" s="55"/>
      <c r="BG49" s="14"/>
      <c r="CG49" s="31"/>
      <c r="CJ49" s="95"/>
      <c r="CK49" s="95"/>
      <c r="DB49" s="275">
        <f t="shared" si="73"/>
        <v>40787</v>
      </c>
      <c r="DS49" s="163">
        <f>DB20</f>
        <v>3209.9998785922817</v>
      </c>
      <c r="DT49" s="17">
        <f t="shared" ref="DT49:DZ50" si="76">DS49*(1-DS$32)*EXP($AQ$38*15)</f>
        <v>2932.9238146762418</v>
      </c>
      <c r="DU49" s="17">
        <f t="shared" si="76"/>
        <v>2679.763996273854</v>
      </c>
      <c r="DV49" s="17">
        <f t="shared" si="76"/>
        <v>2448.4560559641823</v>
      </c>
      <c r="DW49" s="165">
        <f t="shared" si="76"/>
        <v>2237.1138153671336</v>
      </c>
      <c r="DX49" s="165">
        <f t="shared" si="76"/>
        <v>2044.0139044830405</v>
      </c>
      <c r="DY49" s="165">
        <f t="shared" si="76"/>
        <v>1867.581708637543</v>
      </c>
      <c r="DZ49" s="165">
        <f t="shared" si="76"/>
        <v>1706.3785284374828</v>
      </c>
    </row>
    <row r="50" spans="2:130" x14ac:dyDescent="0.2">
      <c r="D50" s="408"/>
      <c r="M50" s="258"/>
      <c r="N50" s="258"/>
      <c r="AR50"/>
      <c r="AS50"/>
      <c r="AT50"/>
      <c r="AU50" s="18"/>
      <c r="AV50" s="18"/>
      <c r="BC50"/>
      <c r="BD50"/>
      <c r="BE50" s="55"/>
      <c r="BG50" s="14"/>
      <c r="CG50" s="31"/>
      <c r="CJ50" s="95"/>
      <c r="CK50" s="95"/>
      <c r="DB50" s="275">
        <f t="shared" si="73"/>
        <v>40801</v>
      </c>
      <c r="DT50" s="163">
        <f>DB21</f>
        <v>4235.7923050955424</v>
      </c>
      <c r="DU50" s="17">
        <f t="shared" si="76"/>
        <v>3870.1733942386327</v>
      </c>
      <c r="DV50" s="17">
        <f t="shared" si="76"/>
        <v>3536.1134405608518</v>
      </c>
      <c r="DW50" s="17">
        <f t="shared" si="76"/>
        <v>3230.8883842593305</v>
      </c>
      <c r="DX50" s="165">
        <f t="shared" si="76"/>
        <v>2952.009296932009</v>
      </c>
      <c r="DY50" s="165">
        <f t="shared" si="76"/>
        <v>2697.2020858500655</v>
      </c>
      <c r="DZ50" s="165">
        <f t="shared" si="76"/>
        <v>2464.3889500872056</v>
      </c>
    </row>
    <row r="51" spans="2:130" x14ac:dyDescent="0.2">
      <c r="D51" s="408"/>
      <c r="W51" s="308"/>
      <c r="X51" s="132"/>
      <c r="AJ51" s="6" t="s">
        <v>18</v>
      </c>
      <c r="BC51"/>
      <c r="BD51"/>
      <c r="BE51" s="55"/>
      <c r="BG51" s="14"/>
      <c r="CG51" s="31"/>
      <c r="CH51" s="405"/>
      <c r="CJ51" s="95"/>
      <c r="CK51" s="95"/>
      <c r="DA51" s="405"/>
      <c r="DB51" s="275">
        <f t="shared" si="73"/>
        <v>40817</v>
      </c>
      <c r="DU51" s="163">
        <f>DB22</f>
        <v>4094.9149001997957</v>
      </c>
      <c r="DV51" s="17">
        <f>DU51*(1-DU$32)*EXP($AQ$38*15)</f>
        <v>3741.4560386636163</v>
      </c>
      <c r="DW51" s="17">
        <f>DV51*(1-DV$32)*EXP($AQ$38*15)</f>
        <v>3418.506520994963</v>
      </c>
      <c r="DX51" s="17">
        <f>DW51*(1-DW$32)*EXP($AQ$38*15)</f>
        <v>3123.432886374148</v>
      </c>
      <c r="DY51" s="165">
        <f>DX51*(1-DX$32)*EXP($AQ$38*15)</f>
        <v>2853.8289851920736</v>
      </c>
      <c r="DZ51" s="165">
        <f>DY51*(1-DY$32)*EXP($AQ$38*15)</f>
        <v>2607.4963583343765</v>
      </c>
    </row>
    <row r="52" spans="2:130" x14ac:dyDescent="0.2">
      <c r="AK52" s="8"/>
      <c r="AL52" s="8"/>
      <c r="AP52" t="s">
        <v>34</v>
      </c>
      <c r="AQ52" t="s">
        <v>270</v>
      </c>
      <c r="AR52" t="s">
        <v>269</v>
      </c>
      <c r="BC52"/>
      <c r="BD52"/>
      <c r="BE52" s="55"/>
      <c r="BG52" s="14"/>
      <c r="CG52" s="31"/>
      <c r="CJ52" s="95"/>
      <c r="CK52" s="95"/>
      <c r="DA52" s="405"/>
      <c r="DB52" s="275">
        <f t="shared" si="73"/>
        <v>40831</v>
      </c>
      <c r="DV52" s="163">
        <f>DB23</f>
        <v>0</v>
      </c>
      <c r="DW52" s="17">
        <f>DV52*(1-DV$32)*EXP($AQ$38*15)</f>
        <v>0</v>
      </c>
      <c r="DX52" s="17">
        <f>DW52*(1-DW$32)*EXP($AQ$38*15)</f>
        <v>0</v>
      </c>
      <c r="DY52" s="17">
        <f>DX52*(1-DX$32)*EXP($AQ$38*15)</f>
        <v>0</v>
      </c>
      <c r="DZ52" s="165">
        <f>DY52*(1-DY$32)*EXP($AQ$38*15)</f>
        <v>0</v>
      </c>
    </row>
    <row r="53" spans="2:130" x14ac:dyDescent="0.2">
      <c r="F53" s="257"/>
      <c r="G53" s="257"/>
      <c r="H53" s="257"/>
      <c r="Y53" s="238"/>
      <c r="Z53" s="238"/>
      <c r="AA53" s="238"/>
      <c r="AB53" s="238"/>
      <c r="AF53" s="7"/>
      <c r="AG53" s="60"/>
      <c r="AH53" s="5"/>
      <c r="AJ53" t="s">
        <v>20</v>
      </c>
      <c r="AK53" s="44">
        <f>AK29</f>
        <v>1.3774999999999999</v>
      </c>
      <c r="AL53" t="s">
        <v>21</v>
      </c>
      <c r="AP53">
        <v>0</v>
      </c>
      <c r="AQ53" s="408">
        <f>AP53+12</f>
        <v>12</v>
      </c>
      <c r="AR53" s="29">
        <f>$AK$57/AQ53</f>
        <v>2.6536295761255119E-2</v>
      </c>
      <c r="BC53"/>
      <c r="BD53"/>
      <c r="BE53" s="55"/>
      <c r="BG53" s="14"/>
      <c r="CG53" s="31"/>
      <c r="CH53" s="405"/>
      <c r="CJ53" s="95"/>
      <c r="CK53" s="95"/>
      <c r="DA53" s="405"/>
      <c r="DB53" s="275">
        <f t="shared" si="73"/>
        <v>40848</v>
      </c>
      <c r="DW53" s="163">
        <f>DB24</f>
        <v>0</v>
      </c>
      <c r="DX53" s="17">
        <f>DW53*(1-DW$32)*EXP($AQ$38*15)</f>
        <v>0</v>
      </c>
      <c r="DY53" s="17">
        <f>DX53*(1-DX$32)*EXP($AQ$38*15)</f>
        <v>0</v>
      </c>
      <c r="DZ53" s="17">
        <f>DY53*(1-DY$32)*EXP($AQ$38*15)</f>
        <v>0</v>
      </c>
    </row>
    <row r="54" spans="2:130" ht="12.95" customHeight="1" x14ac:dyDescent="0.2">
      <c r="AJ54" t="s">
        <v>23</v>
      </c>
      <c r="AK54" s="45">
        <f>AK30</f>
        <v>0.7</v>
      </c>
      <c r="AL54" t="s">
        <v>24</v>
      </c>
      <c r="AP54">
        <v>1</v>
      </c>
      <c r="AQ54" s="408">
        <f t="shared" ref="AQ54:AQ68" si="77">AP54+12</f>
        <v>13</v>
      </c>
      <c r="AR54" s="29">
        <f t="shared" ref="AR54:AR68" si="78">$AK$57/AQ54</f>
        <v>2.4495042241158574E-2</v>
      </c>
      <c r="BC54"/>
      <c r="BD54"/>
      <c r="BE54" s="55"/>
      <c r="BG54" s="14"/>
      <c r="CG54" s="31"/>
      <c r="CJ54"/>
      <c r="CK54"/>
      <c r="DB54" s="275">
        <f t="shared" si="73"/>
        <v>40862</v>
      </c>
      <c r="DX54" s="163">
        <f>DB25</f>
        <v>0</v>
      </c>
      <c r="DY54" s="17">
        <f>DX54*(1-DX$32)*EXP($AQ$38*15)</f>
        <v>0</v>
      </c>
      <c r="DZ54" s="17">
        <f>DY54*(1-DY$32)*EXP($AQ$38*15)</f>
        <v>0</v>
      </c>
    </row>
    <row r="55" spans="2:130" ht="12.95" customHeight="1" x14ac:dyDescent="0.2">
      <c r="B55" s="457" t="s">
        <v>148</v>
      </c>
      <c r="C55" s="457"/>
      <c r="D55" s="12" t="s">
        <v>160</v>
      </c>
      <c r="I55" s="6"/>
      <c r="K55" s="6"/>
      <c r="T55" s="404">
        <f>(LN(V21/V11))/(U21-U11)</f>
        <v>2.1265018791115628E-2</v>
      </c>
      <c r="AI55" s="77"/>
      <c r="AJ55" t="s">
        <v>23</v>
      </c>
      <c r="AK55" s="106">
        <v>0.7</v>
      </c>
      <c r="AL55" t="s">
        <v>22</v>
      </c>
      <c r="AP55">
        <v>2</v>
      </c>
      <c r="AQ55" s="408">
        <f t="shared" si="77"/>
        <v>14</v>
      </c>
      <c r="AR55" s="29">
        <f t="shared" si="78"/>
        <v>2.2745396366790103E-2</v>
      </c>
      <c r="BC55"/>
      <c r="BD55"/>
      <c r="BE55" s="55"/>
      <c r="BG55" s="14"/>
      <c r="CG55" s="31"/>
      <c r="DB55" s="275">
        <f t="shared" si="73"/>
        <v>40878</v>
      </c>
      <c r="DY55" s="163">
        <f>DB26</f>
        <v>0</v>
      </c>
      <c r="DZ55" s="17">
        <f>DY55*(1-DY$32)*EXP($AQ$38*15)</f>
        <v>0</v>
      </c>
    </row>
    <row r="56" spans="2:130" x14ac:dyDescent="0.2">
      <c r="B56" s="6" t="s">
        <v>161</v>
      </c>
      <c r="F56" s="257"/>
      <c r="AE56" s="257"/>
      <c r="AF56" s="257"/>
      <c r="AG56" s="257"/>
      <c r="AH56" s="257"/>
      <c r="AI56" s="77"/>
      <c r="AJ56" t="s">
        <v>105</v>
      </c>
      <c r="AK56" s="82">
        <f>(1+($AK$53*$AK$54))*$AK$55</f>
        <v>1.3749749999999998</v>
      </c>
      <c r="AL56" s="82"/>
      <c r="AP56">
        <v>3</v>
      </c>
      <c r="AQ56" s="408">
        <f t="shared" si="77"/>
        <v>15</v>
      </c>
      <c r="AR56" s="29">
        <f t="shared" si="78"/>
        <v>2.1229036609004097E-2</v>
      </c>
      <c r="BC56"/>
      <c r="BD56"/>
      <c r="BE56" s="55"/>
      <c r="CG56" s="31"/>
      <c r="DB56" s="275">
        <f t="shared" si="73"/>
        <v>40892</v>
      </c>
      <c r="DH56" s="26"/>
      <c r="DZ56" s="163">
        <f>DB27</f>
        <v>0</v>
      </c>
    </row>
    <row r="57" spans="2:130" ht="12.95" customHeight="1" x14ac:dyDescent="0.2">
      <c r="B57" t="s">
        <v>156</v>
      </c>
      <c r="I57" s="16"/>
      <c r="AE57" s="257"/>
      <c r="AF57" s="257"/>
      <c r="AG57" s="257"/>
      <c r="AH57" s="257"/>
      <c r="AJ57" s="258" t="s">
        <v>26</v>
      </c>
      <c r="AK57" s="7">
        <f>LN(AK56)</f>
        <v>0.31843554913506145</v>
      </c>
      <c r="AP57">
        <v>4</v>
      </c>
      <c r="AQ57" s="408">
        <f t="shared" si="77"/>
        <v>16</v>
      </c>
      <c r="AR57" s="29">
        <f t="shared" si="78"/>
        <v>1.990222182094134E-2</v>
      </c>
      <c r="BC57"/>
      <c r="BD57"/>
      <c r="BE57" s="55"/>
      <c r="CG57" s="31"/>
      <c r="DB57" s="166" t="s">
        <v>184</v>
      </c>
      <c r="DC57" s="166"/>
      <c r="DD57" s="166"/>
      <c r="DE57" s="166"/>
      <c r="DF57" s="166"/>
      <c r="DG57" s="166"/>
      <c r="DH57" s="167">
        <f>SUM(DH33)</f>
        <v>47.757336023158011</v>
      </c>
      <c r="DI57" s="167">
        <f>SUM(DI33:DI34)</f>
        <v>51.08968349008947</v>
      </c>
      <c r="DJ57" s="167">
        <f>SUM(DJ33:DJ35)</f>
        <v>65.410338801917959</v>
      </c>
      <c r="DK57" s="167">
        <f>SUM(DK33:DK36)</f>
        <v>84.287805295241128</v>
      </c>
      <c r="DL57" s="167">
        <f>SUM(DL33:DL37)</f>
        <v>112.173748213084</v>
      </c>
      <c r="DM57" s="167">
        <f>SUM(DM33:DM38)</f>
        <v>163.20727787673195</v>
      </c>
      <c r="DN57" s="167">
        <f>SUM(DN33:DN39)</f>
        <v>254.48305255056678</v>
      </c>
      <c r="DO57" s="167">
        <f>SUM(DO33:DO40)</f>
        <v>388.54403688071022</v>
      </c>
      <c r="DP57" s="167">
        <f>SUM(DP33:DP41)</f>
        <v>599.8034697566161</v>
      </c>
      <c r="DQ57" s="167">
        <f>SUM(DQ33:DQ42)</f>
        <v>896.47603562636459</v>
      </c>
      <c r="DR57" s="167">
        <f>SUM(DR33:DR43)</f>
        <v>1303.4837283990103</v>
      </c>
      <c r="DS57" s="167">
        <f>SUM(DS33:DS44)</f>
        <v>1845.7580199410261</v>
      </c>
      <c r="DT57" s="167">
        <f>SUM(DT33:DT45)</f>
        <v>2543.5430517046957</v>
      </c>
      <c r="DU57" s="167">
        <f>SUM(DU33:DU46)</f>
        <v>3395.6877007494927</v>
      </c>
      <c r="DV57" s="167">
        <f>SUM(DV33:DV47)</f>
        <v>4450.8963351367411</v>
      </c>
      <c r="DW57" s="167">
        <f>SUM(DW33:DW48)</f>
        <v>5814.0606103219479</v>
      </c>
      <c r="DX57" s="167">
        <f>SUM(DX33:DX49)</f>
        <v>7356.2249539932427</v>
      </c>
      <c r="DY57" s="167">
        <f>SUM(DY33:DY50)</f>
        <v>9418.4631979047062</v>
      </c>
      <c r="DZ57" s="167">
        <f>SUM(DZ33:DZ51)</f>
        <v>11212.990456639631</v>
      </c>
    </row>
    <row r="58" spans="2:130" x14ac:dyDescent="0.2">
      <c r="B58" t="s">
        <v>149</v>
      </c>
      <c r="AJ58" s="258" t="s">
        <v>27</v>
      </c>
      <c r="AK58" s="6">
        <f>AK57/12</f>
        <v>2.6536295761255119E-2</v>
      </c>
      <c r="AP58">
        <v>5</v>
      </c>
      <c r="AQ58" s="408">
        <f t="shared" si="77"/>
        <v>17</v>
      </c>
      <c r="AR58" s="79">
        <f t="shared" si="78"/>
        <v>1.8731502890297732E-2</v>
      </c>
      <c r="AS58" s="486" t="s">
        <v>271</v>
      </c>
      <c r="BC58"/>
      <c r="BD58"/>
      <c r="BE58" s="55"/>
      <c r="DB58" t="s">
        <v>185</v>
      </c>
      <c r="DC58" s="17">
        <f t="shared" ref="DC58:DZ58" si="79">SUM(DC33:DC56)</f>
        <v>75</v>
      </c>
      <c r="DD58" s="17">
        <f t="shared" si="79"/>
        <v>80.233249607948565</v>
      </c>
      <c r="DE58" s="17">
        <f t="shared" si="79"/>
        <v>102.72297030481323</v>
      </c>
      <c r="DF58" s="17">
        <f t="shared" si="79"/>
        <v>132.36888661624016</v>
      </c>
      <c r="DG58" s="17">
        <f t="shared" si="79"/>
        <v>176.16206883695804</v>
      </c>
      <c r="DH58" s="17">
        <f t="shared" si="79"/>
        <v>256.30713226590638</v>
      </c>
      <c r="DI58" s="17">
        <f t="shared" si="79"/>
        <v>399.65020100864501</v>
      </c>
      <c r="DJ58" s="17">
        <f t="shared" si="79"/>
        <v>610.1848468248437</v>
      </c>
      <c r="DK58" s="17">
        <f t="shared" si="79"/>
        <v>941.95497441340535</v>
      </c>
      <c r="DL58" s="17">
        <f t="shared" si="79"/>
        <v>1407.8612475238165</v>
      </c>
      <c r="DM58" s="17">
        <f t="shared" si="79"/>
        <v>2047.0421462059846</v>
      </c>
      <c r="DN58" s="17">
        <f t="shared" si="79"/>
        <v>2898.651035067156</v>
      </c>
      <c r="DO58" s="17">
        <f t="shared" si="79"/>
        <v>3994.4801105603528</v>
      </c>
      <c r="DP58" s="17">
        <f t="shared" si="79"/>
        <v>5332.7216039168652</v>
      </c>
      <c r="DQ58" s="17">
        <f t="shared" si="79"/>
        <v>6989.8627715202583</v>
      </c>
      <c r="DR58" s="17">
        <f t="shared" si="79"/>
        <v>9130.6295971512882</v>
      </c>
      <c r="DS58" s="17">
        <f t="shared" si="79"/>
        <v>11552.505174952808</v>
      </c>
      <c r="DT58" s="17">
        <f t="shared" si="79"/>
        <v>14791.125273409718</v>
      </c>
      <c r="DU58" s="17">
        <f t="shared" si="79"/>
        <v>17609.321504871532</v>
      </c>
      <c r="DV58" s="17">
        <f t="shared" si="79"/>
        <v>16089.34590507756</v>
      </c>
      <c r="DW58" s="17">
        <f t="shared" si="79"/>
        <v>14700.569330943375</v>
      </c>
      <c r="DX58" s="17">
        <f t="shared" si="79"/>
        <v>13431.667137299401</v>
      </c>
      <c r="DY58" s="17">
        <f t="shared" si="79"/>
        <v>12272.292183096779</v>
      </c>
      <c r="DZ58" s="17">
        <f t="shared" si="79"/>
        <v>11212.990456639631</v>
      </c>
    </row>
    <row r="59" spans="2:130" x14ac:dyDescent="0.2">
      <c r="I59" s="86"/>
      <c r="J59" s="86"/>
      <c r="K59" s="86"/>
      <c r="AJ59" s="258" t="s">
        <v>106</v>
      </c>
      <c r="AK59">
        <f>AK57/17</f>
        <v>1.8731502890297732E-2</v>
      </c>
      <c r="AL59" s="12"/>
      <c r="AP59">
        <v>6</v>
      </c>
      <c r="AQ59" s="408">
        <f t="shared" si="77"/>
        <v>18</v>
      </c>
      <c r="AR59" s="79">
        <f t="shared" si="78"/>
        <v>1.7690863840836749E-2</v>
      </c>
      <c r="AS59" s="486"/>
      <c r="BC59"/>
      <c r="BD59"/>
      <c r="BE59" s="55"/>
      <c r="DB59" t="s">
        <v>186</v>
      </c>
      <c r="DC59" s="37">
        <f t="shared" ref="DC59:DZ59" si="80">IF(DC58=0,0,IF(DC57/DC58=1,0.99,DC57/DC58))</f>
        <v>0</v>
      </c>
      <c r="DD59" s="37">
        <f t="shared" si="80"/>
        <v>0</v>
      </c>
      <c r="DE59" s="37">
        <f t="shared" si="80"/>
        <v>0</v>
      </c>
      <c r="DF59" s="37">
        <f t="shared" si="80"/>
        <v>0</v>
      </c>
      <c r="DG59" s="37">
        <f t="shared" si="80"/>
        <v>0</v>
      </c>
      <c r="DH59" s="37">
        <f t="shared" si="80"/>
        <v>0.18632854888178477</v>
      </c>
      <c r="DI59" s="37">
        <f t="shared" si="80"/>
        <v>0.12783600098573283</v>
      </c>
      <c r="DJ59" s="37">
        <f t="shared" si="80"/>
        <v>0.10719757978633365</v>
      </c>
      <c r="DK59" s="37">
        <f t="shared" si="80"/>
        <v>8.9481777351120909E-2</v>
      </c>
      <c r="DL59" s="37">
        <f t="shared" si="80"/>
        <v>7.9676707069235797E-2</v>
      </c>
      <c r="DM59" s="37">
        <f t="shared" si="80"/>
        <v>7.9728342759929252E-2</v>
      </c>
      <c r="DN59" s="37">
        <f t="shared" si="80"/>
        <v>8.7793614847697904E-2</v>
      </c>
      <c r="DO59" s="37">
        <f t="shared" si="80"/>
        <v>9.7270239462077218E-2</v>
      </c>
      <c r="DP59" s="37">
        <f t="shared" si="80"/>
        <v>0.11247605149986876</v>
      </c>
      <c r="DQ59" s="37">
        <f t="shared" si="80"/>
        <v>0.12825373901172968</v>
      </c>
      <c r="DR59" s="37">
        <f t="shared" si="80"/>
        <v>0.14275945755215946</v>
      </c>
      <c r="DS59" s="37">
        <f t="shared" si="80"/>
        <v>0.15977123506880975</v>
      </c>
      <c r="DT59" s="37">
        <f t="shared" si="80"/>
        <v>0.17196413421480991</v>
      </c>
      <c r="DU59" s="37">
        <f t="shared" si="80"/>
        <v>0.19283466996784018</v>
      </c>
      <c r="DV59" s="37">
        <f t="shared" si="80"/>
        <v>0.27663625118110635</v>
      </c>
      <c r="DW59" s="37">
        <f t="shared" si="80"/>
        <v>0.39549900955766887</v>
      </c>
      <c r="DX59" s="37">
        <f t="shared" si="80"/>
        <v>0.5476777289667335</v>
      </c>
      <c r="DY59" s="37">
        <f t="shared" si="80"/>
        <v>0.76745754235522612</v>
      </c>
      <c r="DZ59" s="37">
        <f t="shared" si="80"/>
        <v>0.99</v>
      </c>
    </row>
    <row r="60" spans="2:130" ht="12.95" customHeight="1" x14ac:dyDescent="0.2">
      <c r="B60" s="399" t="s">
        <v>88</v>
      </c>
      <c r="C60" s="259" t="s">
        <v>150</v>
      </c>
      <c r="R60" s="53" t="s">
        <v>33</v>
      </c>
      <c r="S60" s="53"/>
      <c r="T60" s="258"/>
      <c r="V60" s="258"/>
      <c r="AP60">
        <v>7</v>
      </c>
      <c r="AQ60" s="408">
        <f t="shared" si="77"/>
        <v>19</v>
      </c>
      <c r="AR60" s="79">
        <f t="shared" si="78"/>
        <v>1.6759765743950602E-2</v>
      </c>
      <c r="AS60" s="486"/>
      <c r="DB60" s="20"/>
    </row>
    <row r="61" spans="2:130" x14ac:dyDescent="0.2">
      <c r="B61" s="29">
        <v>2.4E-2</v>
      </c>
      <c r="C61" s="18">
        <f>(LN(2))/B61</f>
        <v>28.881132523331054</v>
      </c>
      <c r="I61" s="257"/>
      <c r="S61" s="258" t="s">
        <v>35</v>
      </c>
      <c r="T61" s="258" t="s">
        <v>274</v>
      </c>
      <c r="U61" s="67" t="s">
        <v>17</v>
      </c>
      <c r="V61" s="258"/>
      <c r="AJ61" s="6" t="s">
        <v>19</v>
      </c>
      <c r="AM61" s="398"/>
      <c r="AP61">
        <v>8</v>
      </c>
      <c r="AQ61" s="408">
        <f t="shared" si="77"/>
        <v>20</v>
      </c>
      <c r="AR61" s="79">
        <f t="shared" si="78"/>
        <v>1.5921777456753071E-2</v>
      </c>
      <c r="AS61" s="486"/>
    </row>
    <row r="62" spans="2:130" x14ac:dyDescent="0.2">
      <c r="B62" s="29">
        <f t="shared" ref="B62:B83" si="81">B61-0.001</f>
        <v>2.3E-2</v>
      </c>
      <c r="C62" s="18">
        <f t="shared" ref="C62:C83" si="82">(LN(2))/B62</f>
        <v>30.136833937388925</v>
      </c>
      <c r="AI62" s="487" t="s">
        <v>112</v>
      </c>
      <c r="AJ62" s="82" t="s">
        <v>20</v>
      </c>
      <c r="AK62" s="44">
        <f>AK31</f>
        <v>3.5</v>
      </c>
      <c r="AL62" s="12" t="s">
        <v>21</v>
      </c>
      <c r="AM62" s="398"/>
      <c r="AP62">
        <v>9</v>
      </c>
      <c r="AQ62" s="408">
        <f t="shared" si="77"/>
        <v>21</v>
      </c>
      <c r="AR62" s="79">
        <f t="shared" si="78"/>
        <v>1.516359757786007E-2</v>
      </c>
      <c r="AS62" s="486"/>
    </row>
    <row r="63" spans="2:130" x14ac:dyDescent="0.2">
      <c r="B63" s="29">
        <f t="shared" si="81"/>
        <v>2.1999999999999999E-2</v>
      </c>
      <c r="C63" s="18">
        <f t="shared" si="82"/>
        <v>31.506690025452059</v>
      </c>
      <c r="S63" s="258"/>
      <c r="U63" s="36"/>
      <c r="AI63" s="487"/>
      <c r="AJ63" s="82" t="s">
        <v>23</v>
      </c>
      <c r="AK63" s="46">
        <f>AK32</f>
        <v>0.7</v>
      </c>
      <c r="AL63" t="s">
        <v>25</v>
      </c>
      <c r="AM63" s="48"/>
      <c r="AP63">
        <v>10</v>
      </c>
      <c r="AQ63" s="408">
        <f t="shared" si="77"/>
        <v>22</v>
      </c>
      <c r="AR63" s="79">
        <f t="shared" si="78"/>
        <v>1.4474343142502793E-2</v>
      </c>
      <c r="AS63" s="486"/>
    </row>
    <row r="64" spans="2:130" x14ac:dyDescent="0.2">
      <c r="B64" s="29">
        <f t="shared" si="81"/>
        <v>2.0999999999999998E-2</v>
      </c>
      <c r="C64" s="18">
        <f t="shared" si="82"/>
        <v>33.007008598092639</v>
      </c>
      <c r="P64" s="68"/>
      <c r="Q64" s="68"/>
      <c r="S64" s="101" t="s">
        <v>273</v>
      </c>
      <c r="T64">
        <v>1993</v>
      </c>
      <c r="U64" s="34">
        <v>3.0571428571428572E-2</v>
      </c>
      <c r="AI64" s="487"/>
      <c r="AJ64" s="82" t="s">
        <v>107</v>
      </c>
      <c r="AK64" s="44">
        <v>0.7</v>
      </c>
      <c r="AL64" t="s">
        <v>22</v>
      </c>
      <c r="AP64">
        <v>11</v>
      </c>
      <c r="AQ64" s="408">
        <f t="shared" si="77"/>
        <v>23</v>
      </c>
      <c r="AR64" s="79">
        <f t="shared" si="78"/>
        <v>1.3845023875437455E-2</v>
      </c>
      <c r="AS64" s="486"/>
    </row>
    <row r="65" spans="2:115" x14ac:dyDescent="0.2">
      <c r="B65" s="29">
        <f t="shared" si="81"/>
        <v>1.9999999999999997E-2</v>
      </c>
      <c r="C65" s="18">
        <f t="shared" si="82"/>
        <v>34.657359027997266</v>
      </c>
      <c r="P65" s="145"/>
      <c r="Q65" s="145"/>
      <c r="S65" s="101" t="s">
        <v>266</v>
      </c>
      <c r="T65">
        <v>2007</v>
      </c>
      <c r="U65" s="34">
        <v>2.7285714285714285E-2</v>
      </c>
      <c r="AJ65" t="s">
        <v>105</v>
      </c>
      <c r="AK65">
        <f>(1+(AK62*AK63))*AK64</f>
        <v>2.4149999999999996</v>
      </c>
      <c r="AP65">
        <v>12</v>
      </c>
      <c r="AQ65" s="408">
        <f t="shared" si="77"/>
        <v>24</v>
      </c>
      <c r="AR65" s="79">
        <f t="shared" si="78"/>
        <v>1.326814788062756E-2</v>
      </c>
      <c r="AS65" s="486"/>
    </row>
    <row r="66" spans="2:115" x14ac:dyDescent="0.2">
      <c r="B66" s="29">
        <f t="shared" si="81"/>
        <v>1.8999999999999996E-2</v>
      </c>
      <c r="C66" s="18">
        <f t="shared" si="82"/>
        <v>36.481430555786602</v>
      </c>
      <c r="M66" s="291"/>
      <c r="N66" s="291"/>
      <c r="O66" s="291"/>
      <c r="P66" s="292"/>
      <c r="Q66" s="292"/>
      <c r="R66" s="291"/>
      <c r="S66" s="293" t="s">
        <v>37</v>
      </c>
      <c r="U66" s="36">
        <v>2.3E-2</v>
      </c>
      <c r="AJ66" s="258" t="s">
        <v>26</v>
      </c>
      <c r="AK66">
        <f>LN(AK65)</f>
        <v>0.88169928710453582</v>
      </c>
      <c r="AP66">
        <v>13</v>
      </c>
      <c r="AQ66" s="408">
        <f t="shared" si="77"/>
        <v>25</v>
      </c>
      <c r="AR66" s="79">
        <f t="shared" si="78"/>
        <v>1.2737421965402458E-2</v>
      </c>
      <c r="AS66" s="486"/>
    </row>
    <row r="67" spans="2:115" x14ac:dyDescent="0.2">
      <c r="B67" s="29">
        <f t="shared" si="81"/>
        <v>1.7999999999999995E-2</v>
      </c>
      <c r="C67" s="18">
        <f t="shared" si="82"/>
        <v>38.508176697774751</v>
      </c>
      <c r="P67" s="145"/>
      <c r="Q67" s="145"/>
      <c r="S67" s="101" t="s">
        <v>287</v>
      </c>
      <c r="T67">
        <v>1999</v>
      </c>
      <c r="U67" s="34">
        <v>2.2936022002005126E-2</v>
      </c>
      <c r="AJ67" s="258" t="s">
        <v>27</v>
      </c>
      <c r="AK67" s="6">
        <f>AK66/15</f>
        <v>5.8779952473635724E-2</v>
      </c>
      <c r="AP67">
        <v>14</v>
      </c>
      <c r="AQ67" s="408">
        <f t="shared" si="77"/>
        <v>26</v>
      </c>
      <c r="AR67" s="79">
        <f t="shared" si="78"/>
        <v>1.2247521120579287E-2</v>
      </c>
      <c r="AS67" s="486"/>
      <c r="AY67" s="32"/>
      <c r="AZ67" s="32"/>
    </row>
    <row r="68" spans="2:115" ht="12.75" customHeight="1" x14ac:dyDescent="0.2">
      <c r="B68" s="29">
        <f t="shared" si="81"/>
        <v>1.6999999999999994E-2</v>
      </c>
      <c r="C68" s="18">
        <f t="shared" si="82"/>
        <v>40.773363562349736</v>
      </c>
      <c r="Q68" s="60"/>
      <c r="R68" s="60"/>
      <c r="S68" s="101" t="s">
        <v>285</v>
      </c>
      <c r="T68">
        <v>2002</v>
      </c>
      <c r="U68" s="34">
        <v>2.2714285714285715E-2</v>
      </c>
      <c r="AJ68" s="258"/>
      <c r="AP68">
        <v>15</v>
      </c>
      <c r="AQ68" s="408">
        <f t="shared" si="77"/>
        <v>27</v>
      </c>
      <c r="AR68" s="79">
        <f t="shared" si="78"/>
        <v>1.1793909227224498E-2</v>
      </c>
      <c r="AS68" s="486"/>
      <c r="AT68"/>
      <c r="AU68"/>
      <c r="AV68"/>
      <c r="AY68" s="32"/>
      <c r="AZ68" s="32"/>
    </row>
    <row r="69" spans="2:115" ht="12.75" customHeight="1" x14ac:dyDescent="0.2">
      <c r="B69" s="29">
        <f t="shared" si="81"/>
        <v>1.5999999999999993E-2</v>
      </c>
      <c r="C69" s="18">
        <f t="shared" si="82"/>
        <v>43.321698784996599</v>
      </c>
      <c r="P69" s="60"/>
      <c r="Q69" s="60"/>
      <c r="R69" s="60"/>
      <c r="S69" s="101" t="s">
        <v>275</v>
      </c>
      <c r="T69">
        <v>1994</v>
      </c>
      <c r="U69" s="294">
        <v>2.1428571428571429E-2</v>
      </c>
      <c r="V69" s="488" t="s">
        <v>292</v>
      </c>
      <c r="AY69" s="32"/>
      <c r="AZ69" s="32"/>
    </row>
    <row r="70" spans="2:115" ht="12.75" customHeight="1" x14ac:dyDescent="0.2">
      <c r="B70" s="29">
        <f t="shared" si="81"/>
        <v>1.4999999999999993E-2</v>
      </c>
      <c r="C70" s="18">
        <f t="shared" si="82"/>
        <v>46.209812037329712</v>
      </c>
      <c r="P70" s="60"/>
      <c r="Q70" s="60"/>
      <c r="R70" s="60"/>
      <c r="S70" s="101" t="s">
        <v>279</v>
      </c>
      <c r="T70" s="20">
        <v>1997</v>
      </c>
      <c r="U70" s="295">
        <v>2.1428571428571429E-2</v>
      </c>
      <c r="V70" s="488"/>
      <c r="AJ70" s="49" t="s">
        <v>247</v>
      </c>
      <c r="AK70" s="49"/>
      <c r="AL70" s="49"/>
      <c r="AM70" s="49"/>
      <c r="AN70" s="49"/>
      <c r="AO70" s="12"/>
      <c r="AP70" s="12"/>
      <c r="AY70" s="32"/>
      <c r="AZ70" s="32"/>
    </row>
    <row r="71" spans="2:115" ht="12.75" customHeight="1" x14ac:dyDescent="0.2">
      <c r="B71" s="29">
        <f t="shared" si="81"/>
        <v>1.3999999999999992E-2</v>
      </c>
      <c r="C71" s="18">
        <f t="shared" si="82"/>
        <v>49.51051289713898</v>
      </c>
      <c r="Q71" s="160"/>
      <c r="R71" s="160"/>
      <c r="S71" s="258" t="s">
        <v>36</v>
      </c>
      <c r="T71">
        <v>1999</v>
      </c>
      <c r="U71" s="296">
        <v>2.1000000000000001E-2</v>
      </c>
      <c r="V71" s="488"/>
      <c r="AJ71" s="65">
        <v>5.0000000000000001E-3</v>
      </c>
      <c r="AK71" t="s">
        <v>28</v>
      </c>
      <c r="AL71" s="50">
        <f>1-AJ71</f>
        <v>0.995</v>
      </c>
      <c r="AM71" t="s">
        <v>29</v>
      </c>
      <c r="AO71" t="s">
        <v>30</v>
      </c>
      <c r="AY71" s="32"/>
      <c r="AZ71" s="32"/>
      <c r="DK71" s="18"/>
    </row>
    <row r="72" spans="2:115" x14ac:dyDescent="0.2">
      <c r="B72" s="29">
        <f t="shared" si="81"/>
        <v>1.2999999999999991E-2</v>
      </c>
      <c r="C72" s="18">
        <f t="shared" si="82"/>
        <v>53.319013889226596</v>
      </c>
      <c r="P72" s="160"/>
      <c r="Q72" s="160"/>
      <c r="R72" s="160"/>
      <c r="S72" s="101" t="s">
        <v>266</v>
      </c>
      <c r="T72">
        <v>2007</v>
      </c>
      <c r="U72" s="294">
        <v>2.0714285714285713E-2</v>
      </c>
      <c r="V72" s="488"/>
      <c r="AJ72" s="12">
        <f>LN(AL71)</f>
        <v>-5.0125418235442863E-3</v>
      </c>
      <c r="AK72" t="s">
        <v>31</v>
      </c>
      <c r="AY72" s="32"/>
      <c r="AZ72" s="32"/>
    </row>
    <row r="73" spans="2:115" x14ac:dyDescent="0.2">
      <c r="B73" s="29">
        <f t="shared" si="81"/>
        <v>1.199999999999999E-2</v>
      </c>
      <c r="C73" s="18">
        <f t="shared" si="82"/>
        <v>57.762265046662158</v>
      </c>
      <c r="P73" s="160"/>
      <c r="Q73" s="160"/>
      <c r="R73" s="160"/>
      <c r="S73" s="101" t="s">
        <v>278</v>
      </c>
      <c r="T73">
        <v>1996</v>
      </c>
      <c r="U73" s="294">
        <v>1.9857142857142858E-2</v>
      </c>
      <c r="V73" s="488"/>
      <c r="AJ73" s="51">
        <f>100*EXP(AJ72*100)</f>
        <v>60.577043649072792</v>
      </c>
      <c r="AK73" s="52" t="s">
        <v>32</v>
      </c>
      <c r="AL73" s="52"/>
      <c r="AM73" s="52"/>
      <c r="AV73"/>
      <c r="AW73"/>
      <c r="AX73"/>
      <c r="AY73"/>
      <c r="AZ73"/>
      <c r="BA73"/>
    </row>
    <row r="74" spans="2:115" ht="12.75" customHeight="1" x14ac:dyDescent="0.2">
      <c r="B74" s="29">
        <f t="shared" si="81"/>
        <v>1.0999999999999989E-2</v>
      </c>
      <c r="C74" s="18">
        <f t="shared" si="82"/>
        <v>63.013380050904182</v>
      </c>
      <c r="N74" s="22"/>
      <c r="O74" s="22"/>
      <c r="S74" s="101" t="s">
        <v>267</v>
      </c>
      <c r="T74">
        <v>2007</v>
      </c>
      <c r="U74" s="294">
        <v>1.9571428571428573E-2</v>
      </c>
      <c r="V74" s="488"/>
      <c r="AR74" s="489" t="s">
        <v>268</v>
      </c>
      <c r="AS74" s="489"/>
      <c r="AT74" s="489"/>
      <c r="AU74" s="489"/>
      <c r="AV74" s="489"/>
      <c r="AW74" s="489"/>
      <c r="AX74"/>
      <c r="AY74"/>
      <c r="AZ74"/>
      <c r="BA74"/>
    </row>
    <row r="75" spans="2:115" x14ac:dyDescent="0.2">
      <c r="B75" s="29">
        <f t="shared" si="81"/>
        <v>9.9999999999999881E-3</v>
      </c>
      <c r="C75" s="18">
        <f t="shared" si="82"/>
        <v>69.314718055994618</v>
      </c>
      <c r="S75" s="258" t="s">
        <v>291</v>
      </c>
      <c r="T75">
        <v>2016</v>
      </c>
      <c r="U75" s="296">
        <v>1.9E-2</v>
      </c>
      <c r="V75" s="488"/>
      <c r="AJ75" s="49" t="s">
        <v>248</v>
      </c>
      <c r="AR75" s="489"/>
      <c r="AS75" s="489"/>
      <c r="AT75" s="489"/>
      <c r="AU75" s="489"/>
      <c r="AV75" s="489"/>
      <c r="AW75" s="489"/>
    </row>
    <row r="76" spans="2:115" x14ac:dyDescent="0.2">
      <c r="B76" s="29">
        <f t="shared" si="81"/>
        <v>8.9999999999999872E-3</v>
      </c>
      <c r="C76" s="18">
        <f t="shared" si="82"/>
        <v>77.016353395549586</v>
      </c>
      <c r="S76" s="101" t="s">
        <v>276</v>
      </c>
      <c r="T76">
        <v>1995</v>
      </c>
      <c r="U76" s="294">
        <v>1.8714285714285715E-2</v>
      </c>
      <c r="V76" s="488"/>
      <c r="AJ76" s="65">
        <v>0.01</v>
      </c>
      <c r="AK76" t="s">
        <v>28</v>
      </c>
      <c r="AL76" s="50">
        <f>1-AJ76</f>
        <v>0.99</v>
      </c>
      <c r="AM76" t="s">
        <v>29</v>
      </c>
      <c r="AR76" s="489"/>
      <c r="AS76" s="489"/>
      <c r="AT76" s="489"/>
      <c r="AU76" s="489"/>
      <c r="AV76" s="489"/>
      <c r="AW76" s="489"/>
    </row>
    <row r="77" spans="2:115" x14ac:dyDescent="0.2">
      <c r="B77" s="29">
        <f t="shared" si="81"/>
        <v>7.9999999999999863E-3</v>
      </c>
      <c r="C77" s="18">
        <f t="shared" si="82"/>
        <v>86.643397569993311</v>
      </c>
      <c r="S77" s="101" t="s">
        <v>266</v>
      </c>
      <c r="T77">
        <v>2007</v>
      </c>
      <c r="U77" s="294">
        <v>1.7428571428571429E-2</v>
      </c>
      <c r="V77" s="488"/>
      <c r="AJ77" s="12">
        <f>LN(AL76)</f>
        <v>-1.0050335853501451E-2</v>
      </c>
      <c r="AK77" t="s">
        <v>31</v>
      </c>
      <c r="AR77" s="489"/>
      <c r="AS77" s="489"/>
      <c r="AT77" s="489"/>
      <c r="AU77" s="489"/>
      <c r="AV77" s="489"/>
      <c r="AW77" s="489"/>
    </row>
    <row r="78" spans="2:115" ht="12.75" customHeight="1" x14ac:dyDescent="0.2">
      <c r="B78" s="29">
        <f t="shared" si="81"/>
        <v>6.9999999999999863E-3</v>
      </c>
      <c r="C78" s="18">
        <f t="shared" si="82"/>
        <v>99.021025794278088</v>
      </c>
      <c r="S78" s="258" t="s">
        <v>133</v>
      </c>
      <c r="T78">
        <v>2000</v>
      </c>
      <c r="U78" s="296">
        <v>1.7000000000000001E-2</v>
      </c>
      <c r="V78" s="488"/>
      <c r="AJ78" s="282">
        <v>3</v>
      </c>
      <c r="AK78" s="283">
        <v>19</v>
      </c>
      <c r="AL78" t="s">
        <v>249</v>
      </c>
      <c r="AO78">
        <f>AJ78*AK78</f>
        <v>57</v>
      </c>
      <c r="AP78" t="s">
        <v>250</v>
      </c>
      <c r="AR78" s="489"/>
      <c r="AS78" s="489"/>
      <c r="AT78" s="489"/>
      <c r="AU78" s="489"/>
      <c r="AV78" s="489"/>
      <c r="AW78" s="489"/>
      <c r="AX78" s="33"/>
      <c r="AY78" s="33"/>
      <c r="AZ78" s="33"/>
      <c r="BA78" s="33"/>
      <c r="BB78" s="33"/>
      <c r="BC78" s="33"/>
      <c r="BD78" s="33"/>
      <c r="BE78" s="33"/>
      <c r="BF78" s="33"/>
      <c r="BG78" s="88"/>
    </row>
    <row r="79" spans="2:115" x14ac:dyDescent="0.2">
      <c r="B79" s="29">
        <f t="shared" si="81"/>
        <v>5.9999999999999862E-3</v>
      </c>
      <c r="C79" s="18">
        <f t="shared" si="82"/>
        <v>115.52453009332447</v>
      </c>
      <c r="S79" s="101" t="s">
        <v>286</v>
      </c>
      <c r="T79">
        <v>2002</v>
      </c>
      <c r="U79" s="34">
        <v>1.3571428571428571E-2</v>
      </c>
      <c r="AJ79" s="51">
        <f>100*EXP(AJ77*AO78)</f>
        <v>56.390519045238761</v>
      </c>
      <c r="AK79" s="52" t="s">
        <v>251</v>
      </c>
      <c r="AL79" s="52">
        <f>AO78</f>
        <v>57</v>
      </c>
      <c r="AM79" s="52" t="s">
        <v>252</v>
      </c>
      <c r="CJ79" s="35"/>
      <c r="CK79" s="35"/>
      <c r="CL79" s="34"/>
      <c r="CM79" s="34"/>
      <c r="CO79" s="36"/>
      <c r="CP79" s="34"/>
      <c r="DA79" s="21"/>
      <c r="DB79" s="18"/>
    </row>
    <row r="80" spans="2:115" s="20" customFormat="1" ht="12.75" customHeight="1" x14ac:dyDescent="0.2">
      <c r="B80" s="29">
        <f t="shared" si="81"/>
        <v>4.9999999999999862E-3</v>
      </c>
      <c r="C80" s="18">
        <f t="shared" si="82"/>
        <v>138.62943611198943</v>
      </c>
      <c r="M80"/>
      <c r="S80" s="101" t="s">
        <v>277</v>
      </c>
      <c r="T80">
        <v>1995</v>
      </c>
      <c r="U80" s="34">
        <v>1.1428571428571429E-2</v>
      </c>
      <c r="W80" s="309"/>
      <c r="Z80"/>
      <c r="AF80"/>
      <c r="AG80"/>
      <c r="AJ80"/>
      <c r="AK80"/>
      <c r="AL80"/>
      <c r="AM80"/>
      <c r="AN80"/>
      <c r="AR80" s="54" t="s">
        <v>253</v>
      </c>
      <c r="AY80" s="10"/>
      <c r="AZ80" s="10"/>
      <c r="BA80" s="10"/>
      <c r="BH80"/>
      <c r="BI80"/>
      <c r="BJ80"/>
      <c r="BK80"/>
      <c r="BL80"/>
      <c r="BM80"/>
      <c r="BN80"/>
      <c r="BO80"/>
      <c r="BP80"/>
      <c r="BQ80"/>
      <c r="BR80"/>
      <c r="BS80"/>
      <c r="BT80"/>
      <c r="BU80"/>
      <c r="BV80"/>
      <c r="BW80"/>
      <c r="BX80"/>
      <c r="BY80"/>
      <c r="BZ80"/>
      <c r="CA80"/>
      <c r="CB80"/>
      <c r="CC80"/>
      <c r="CD80"/>
      <c r="CE80"/>
      <c r="CF80"/>
      <c r="CG80"/>
      <c r="CH80"/>
      <c r="CI80"/>
      <c r="CJ80"/>
      <c r="CK80"/>
      <c r="CL80"/>
      <c r="CM80"/>
      <c r="CN80"/>
      <c r="CO80" s="39"/>
      <c r="CQ80"/>
      <c r="CR80"/>
      <c r="CS80"/>
      <c r="CT80"/>
      <c r="CU80"/>
      <c r="CV80"/>
      <c r="CW80"/>
      <c r="CX80"/>
      <c r="CY80"/>
      <c r="CZ80"/>
      <c r="DA80" s="40"/>
      <c r="DB80" s="38"/>
    </row>
    <row r="81" spans="2:106" x14ac:dyDescent="0.2">
      <c r="B81" s="29">
        <f t="shared" si="81"/>
        <v>3.9999999999999862E-3</v>
      </c>
      <c r="C81" s="18">
        <f t="shared" si="82"/>
        <v>173.28679513998691</v>
      </c>
      <c r="S81" s="101" t="s">
        <v>288</v>
      </c>
      <c r="T81">
        <v>1999</v>
      </c>
      <c r="U81" s="34">
        <v>1.035681555964402E-2</v>
      </c>
      <c r="AR81" s="398" t="s">
        <v>254</v>
      </c>
      <c r="BB81"/>
      <c r="CJ81"/>
      <c r="CK81"/>
      <c r="DA81" s="41"/>
      <c r="DB81" s="18"/>
    </row>
    <row r="82" spans="2:106" ht="12.75" customHeight="1" x14ac:dyDescent="0.2">
      <c r="B82" s="29">
        <f t="shared" si="81"/>
        <v>2.9999999999999862E-3</v>
      </c>
      <c r="C82" s="18">
        <f t="shared" si="82"/>
        <v>231.04906018664948</v>
      </c>
      <c r="S82" s="258" t="s">
        <v>272</v>
      </c>
      <c r="T82">
        <v>2000</v>
      </c>
      <c r="U82" s="34">
        <v>0.01</v>
      </c>
      <c r="AL82" s="18"/>
      <c r="BB82"/>
      <c r="CJ82"/>
      <c r="CK82"/>
    </row>
    <row r="83" spans="2:106" x14ac:dyDescent="0.2">
      <c r="B83" s="29">
        <f t="shared" si="81"/>
        <v>1.9999999999999862E-3</v>
      </c>
      <c r="C83" s="18">
        <f t="shared" si="82"/>
        <v>346.57359027997506</v>
      </c>
      <c r="S83" s="101" t="s">
        <v>267</v>
      </c>
      <c r="T83">
        <v>2007</v>
      </c>
      <c r="U83" s="34">
        <v>8.7142857142857143E-3</v>
      </c>
      <c r="AB83" s="6"/>
      <c r="AY83" s="43"/>
      <c r="AZ83" s="43"/>
      <c r="BA83" s="408"/>
      <c r="BB83" s="408"/>
      <c r="CJ83"/>
      <c r="CK83"/>
      <c r="DA83" s="21"/>
      <c r="DB83" s="18"/>
    </row>
    <row r="84" spans="2:106" x14ac:dyDescent="0.2">
      <c r="S84" s="101" t="s">
        <v>284</v>
      </c>
      <c r="T84">
        <v>2001</v>
      </c>
      <c r="U84" s="34">
        <v>6.7142857142857143E-3</v>
      </c>
      <c r="AM84" s="21"/>
      <c r="AN84" s="21"/>
      <c r="BB84"/>
      <c r="CJ84"/>
      <c r="CK84"/>
      <c r="DA84" s="21"/>
      <c r="DB84" s="18"/>
    </row>
    <row r="85" spans="2:106" x14ac:dyDescent="0.2">
      <c r="S85" s="101" t="s">
        <v>280</v>
      </c>
      <c r="T85">
        <v>1999</v>
      </c>
      <c r="U85" s="34">
        <v>4.7142857142857143E-3</v>
      </c>
      <c r="AY85" s="408"/>
      <c r="AZ85" s="408"/>
      <c r="BA85" s="408"/>
      <c r="BB85" s="408"/>
      <c r="CJ85"/>
      <c r="CK85"/>
      <c r="DA85" s="21"/>
      <c r="DB85" s="18"/>
    </row>
    <row r="86" spans="2:106" ht="51" x14ac:dyDescent="0.2">
      <c r="S86" s="101" t="s">
        <v>290</v>
      </c>
      <c r="T86">
        <v>1999</v>
      </c>
      <c r="U86" s="294">
        <v>3.9670639760890931E-3</v>
      </c>
      <c r="V86" s="490" t="s">
        <v>293</v>
      </c>
      <c r="AU86" s="405"/>
      <c r="AV86" s="403" t="s">
        <v>260</v>
      </c>
      <c r="AW86" s="260" t="s">
        <v>258</v>
      </c>
      <c r="AX86" s="410" t="s">
        <v>259</v>
      </c>
      <c r="AY86" s="403" t="s">
        <v>336</v>
      </c>
      <c r="AZ86" s="403"/>
      <c r="BB86" s="408"/>
      <c r="CO86" s="44"/>
      <c r="CP86" s="44"/>
    </row>
    <row r="87" spans="2:106" ht="38.25" x14ac:dyDescent="0.2">
      <c r="S87" s="101" t="s">
        <v>283</v>
      </c>
      <c r="T87">
        <v>2000</v>
      </c>
      <c r="U87" s="294">
        <v>3.4285714285714288E-3</v>
      </c>
      <c r="V87" s="490"/>
      <c r="AU87" s="403" t="s">
        <v>256</v>
      </c>
      <c r="AV87" s="403" t="s">
        <v>255</v>
      </c>
      <c r="AW87" s="403">
        <f>AQ127</f>
        <v>0</v>
      </c>
      <c r="AX87" s="403" t="s">
        <v>257</v>
      </c>
      <c r="AY87" s="405"/>
      <c r="AZ87" s="405"/>
      <c r="BA87" s="258" t="s">
        <v>261</v>
      </c>
      <c r="BB87" s="408"/>
    </row>
    <row r="88" spans="2:106" x14ac:dyDescent="0.2">
      <c r="S88" s="101" t="s">
        <v>281</v>
      </c>
      <c r="T88">
        <v>1999</v>
      </c>
      <c r="U88" s="294">
        <v>3.2857142857142855E-3</v>
      </c>
      <c r="V88" s="490"/>
      <c r="AT88" s="258">
        <v>40</v>
      </c>
      <c r="AU88" s="52">
        <v>0</v>
      </c>
      <c r="AV88" s="289">
        <v>1E-3</v>
      </c>
      <c r="AW88" s="52">
        <v>40</v>
      </c>
      <c r="AX88" s="74">
        <f t="shared" ref="AX88:AX106" si="83">12+AW88</f>
        <v>52</v>
      </c>
      <c r="AY88" s="27">
        <f t="shared" ref="AY88:AY106" si="84">-$BA$91*LN(AV88)+$BA$88</f>
        <v>39.538776394910684</v>
      </c>
      <c r="AZ88" s="27"/>
      <c r="BA88" s="288">
        <v>5</v>
      </c>
      <c r="BB88" s="408"/>
    </row>
    <row r="89" spans="2:106" x14ac:dyDescent="0.2">
      <c r="S89" s="101" t="s">
        <v>267</v>
      </c>
      <c r="T89">
        <v>2007</v>
      </c>
      <c r="U89" s="294">
        <v>3.0000000000000001E-3</v>
      </c>
      <c r="V89" s="490"/>
      <c r="AT89" s="258">
        <v>30</v>
      </c>
      <c r="AU89" s="52">
        <v>10</v>
      </c>
      <c r="AV89" s="287">
        <f t="shared" ref="AV89:AV106" si="85">AU89*20/8000</f>
        <v>2.5000000000000001E-2</v>
      </c>
      <c r="AW89" s="52">
        <v>30</v>
      </c>
      <c r="AX89" s="74">
        <f t="shared" si="83"/>
        <v>42</v>
      </c>
      <c r="AY89" s="27">
        <f t="shared" si="84"/>
        <v>23.444397270569681</v>
      </c>
      <c r="AZ89" s="27"/>
      <c r="BB89" s="408"/>
    </row>
    <row r="90" spans="2:106" x14ac:dyDescent="0.2">
      <c r="S90" s="101" t="s">
        <v>282</v>
      </c>
      <c r="T90">
        <v>2000</v>
      </c>
      <c r="U90" s="294">
        <v>2.142857142857143E-3</v>
      </c>
      <c r="V90" s="490"/>
      <c r="AT90" s="258">
        <v>20</v>
      </c>
      <c r="AU90" s="52">
        <v>25</v>
      </c>
      <c r="AV90" s="287">
        <f t="shared" si="85"/>
        <v>6.25E-2</v>
      </c>
      <c r="AW90" s="52">
        <v>20</v>
      </c>
      <c r="AX90" s="74">
        <f t="shared" si="83"/>
        <v>32</v>
      </c>
      <c r="AY90" s="27">
        <f t="shared" si="84"/>
        <v>18.862943611198908</v>
      </c>
      <c r="AZ90" s="27"/>
      <c r="BA90" s="258" t="s">
        <v>262</v>
      </c>
      <c r="BB90" s="408"/>
    </row>
    <row r="91" spans="2:106" x14ac:dyDescent="0.2">
      <c r="S91" s="101" t="s">
        <v>289</v>
      </c>
      <c r="T91">
        <v>1999</v>
      </c>
      <c r="U91" s="294">
        <v>-8.0662155061252579E-3</v>
      </c>
      <c r="V91" s="490"/>
      <c r="AO91">
        <v>1.45</v>
      </c>
      <c r="AP91">
        <v>16.2</v>
      </c>
      <c r="AQ91" s="290">
        <f>LN(AO91)/AP91</f>
        <v>2.2936022002005126E-2</v>
      </c>
      <c r="AT91" s="258">
        <v>17</v>
      </c>
      <c r="AU91" s="52">
        <v>40</v>
      </c>
      <c r="AV91" s="287">
        <f t="shared" si="85"/>
        <v>0.1</v>
      </c>
      <c r="AW91" s="52">
        <v>17</v>
      </c>
      <c r="AX91" s="74">
        <f t="shared" si="83"/>
        <v>29</v>
      </c>
      <c r="AY91" s="27">
        <f t="shared" si="84"/>
        <v>16.512925464970227</v>
      </c>
      <c r="AZ91" s="27"/>
      <c r="BA91" s="288">
        <v>5</v>
      </c>
      <c r="BJ91" s="399"/>
      <c r="BK91" s="399"/>
      <c r="BL91" s="399"/>
      <c r="BM91" s="399"/>
    </row>
    <row r="92" spans="2:106" x14ac:dyDescent="0.2">
      <c r="AO92">
        <v>1.22</v>
      </c>
      <c r="AP92">
        <v>19.2</v>
      </c>
      <c r="AQ92" s="290">
        <f>LN(AO92)/AP92</f>
        <v>1.035681555964402E-2</v>
      </c>
      <c r="AU92" s="284">
        <v>50</v>
      </c>
      <c r="AV92" s="286">
        <f t="shared" si="85"/>
        <v>0.125</v>
      </c>
      <c r="AW92" s="285">
        <v>14.285714285714285</v>
      </c>
      <c r="AX92" s="285">
        <f t="shared" si="83"/>
        <v>26.285714285714285</v>
      </c>
      <c r="AY92" s="27">
        <f t="shared" si="84"/>
        <v>15.397207708399179</v>
      </c>
      <c r="AZ92" s="27"/>
      <c r="BJ92" s="399"/>
      <c r="BK92" s="399"/>
      <c r="BL92" s="399"/>
      <c r="BM92" s="399"/>
    </row>
    <row r="93" spans="2:106" x14ac:dyDescent="0.2">
      <c r="AO93">
        <v>1.08</v>
      </c>
      <c r="AP93">
        <v>19.399999999999999</v>
      </c>
      <c r="AQ93" s="290">
        <f>LN(AO93)/AP93</f>
        <v>3.9670639760890931E-3</v>
      </c>
      <c r="AU93" s="284">
        <v>100</v>
      </c>
      <c r="AV93" s="286">
        <f t="shared" si="85"/>
        <v>0.25</v>
      </c>
      <c r="AW93" s="285">
        <v>12.5</v>
      </c>
      <c r="AX93" s="285">
        <f t="shared" si="83"/>
        <v>24.5</v>
      </c>
      <c r="AY93" s="27">
        <f t="shared" si="84"/>
        <v>11.931471805599454</v>
      </c>
      <c r="AZ93" s="27"/>
    </row>
    <row r="94" spans="2:106" x14ac:dyDescent="0.2">
      <c r="AO94">
        <v>0.83</v>
      </c>
      <c r="AP94">
        <v>23.1</v>
      </c>
      <c r="AQ94" s="290">
        <f>LN(AO94)/AP94</f>
        <v>-8.0662155061252579E-3</v>
      </c>
      <c r="AT94" s="58"/>
      <c r="AU94" s="284">
        <v>150</v>
      </c>
      <c r="AV94" s="286">
        <f t="shared" si="85"/>
        <v>0.375</v>
      </c>
      <c r="AW94" s="285">
        <v>10.526315789473685</v>
      </c>
      <c r="AX94" s="285">
        <f t="shared" si="83"/>
        <v>22.526315789473685</v>
      </c>
      <c r="AY94" s="27">
        <f t="shared" si="84"/>
        <v>9.9041462650586318</v>
      </c>
      <c r="AZ94" s="27"/>
    </row>
    <row r="95" spans="2:106" ht="12.75" customHeight="1" x14ac:dyDescent="0.2">
      <c r="AR95" s="47"/>
      <c r="AT95" s="58"/>
      <c r="AU95" s="284">
        <v>200</v>
      </c>
      <c r="AV95" s="286">
        <f t="shared" si="85"/>
        <v>0.5</v>
      </c>
      <c r="AW95" s="285">
        <v>9.0909090909090917</v>
      </c>
      <c r="AX95" s="285">
        <f t="shared" si="83"/>
        <v>21.090909090909093</v>
      </c>
      <c r="AY95" s="27">
        <f t="shared" si="84"/>
        <v>8.465735902799727</v>
      </c>
      <c r="AZ95" s="27"/>
    </row>
    <row r="96" spans="2:106" x14ac:dyDescent="0.2">
      <c r="AT96" s="58"/>
      <c r="AU96" s="284">
        <v>250</v>
      </c>
      <c r="AV96" s="286">
        <f t="shared" si="85"/>
        <v>0.625</v>
      </c>
      <c r="AW96" s="285">
        <v>7.6923076923076916</v>
      </c>
      <c r="AX96" s="285">
        <f t="shared" si="83"/>
        <v>19.692307692307693</v>
      </c>
      <c r="AY96" s="27">
        <f t="shared" si="84"/>
        <v>7.3500181462286776</v>
      </c>
      <c r="AZ96" s="27"/>
    </row>
    <row r="97" spans="8:99" x14ac:dyDescent="0.2">
      <c r="AT97" s="58"/>
      <c r="AU97" s="284">
        <v>300</v>
      </c>
      <c r="AV97" s="286">
        <f t="shared" si="85"/>
        <v>0.75</v>
      </c>
      <c r="AW97" s="285">
        <v>6.666666666666667</v>
      </c>
      <c r="AX97" s="285">
        <f t="shared" si="83"/>
        <v>18.666666666666668</v>
      </c>
      <c r="AY97" s="27">
        <f t="shared" si="84"/>
        <v>6.4384103622589048</v>
      </c>
      <c r="AZ97" s="27"/>
    </row>
    <row r="98" spans="8:99" x14ac:dyDescent="0.2">
      <c r="AT98" s="21"/>
      <c r="AU98" s="284">
        <v>350</v>
      </c>
      <c r="AV98" s="286">
        <f t="shared" si="85"/>
        <v>0.875</v>
      </c>
      <c r="AW98" s="285">
        <v>4.2105263157894735</v>
      </c>
      <c r="AX98" s="285">
        <f t="shared" si="83"/>
        <v>16.210526315789473</v>
      </c>
      <c r="AY98" s="27">
        <f t="shared" si="84"/>
        <v>5.6676569631226128</v>
      </c>
      <c r="AZ98" s="27"/>
      <c r="BB98" s="408"/>
      <c r="BC98" s="408"/>
      <c r="BD98" s="408"/>
      <c r="BE98" s="408"/>
      <c r="BF98" s="408"/>
    </row>
    <row r="99" spans="8:99" ht="12.75" customHeight="1" x14ac:dyDescent="0.2">
      <c r="AS99" s="15"/>
      <c r="AT99" s="21"/>
      <c r="AU99" s="284">
        <v>400</v>
      </c>
      <c r="AV99" s="286">
        <f t="shared" si="85"/>
        <v>1</v>
      </c>
      <c r="AW99" s="285">
        <v>3.6363636363636367</v>
      </c>
      <c r="AX99" s="285">
        <f t="shared" si="83"/>
        <v>15.636363636363637</v>
      </c>
      <c r="AY99" s="27">
        <f t="shared" si="84"/>
        <v>5</v>
      </c>
      <c r="AZ99" s="27"/>
      <c r="BB99" s="408"/>
      <c r="BC99" s="408"/>
      <c r="BD99" s="408"/>
      <c r="BE99" s="408"/>
      <c r="BF99" s="408"/>
    </row>
    <row r="100" spans="8:99" s="54" customFormat="1" ht="12.75" customHeight="1" x14ac:dyDescent="0.2">
      <c r="H100"/>
      <c r="I100"/>
      <c r="J100"/>
      <c r="K100"/>
      <c r="L100"/>
      <c r="M100"/>
      <c r="N100"/>
      <c r="O100"/>
      <c r="P100"/>
      <c r="Q100"/>
      <c r="R100"/>
      <c r="S100"/>
      <c r="T100"/>
      <c r="W100" s="395"/>
      <c r="AF100"/>
      <c r="AG100"/>
      <c r="AR100" s="258"/>
      <c r="AS100" s="258"/>
      <c r="AT100" s="107"/>
      <c r="AU100" s="284">
        <v>450</v>
      </c>
      <c r="AV100" s="286">
        <f t="shared" si="85"/>
        <v>1.125</v>
      </c>
      <c r="AW100" s="285">
        <v>3.0769230769230771</v>
      </c>
      <c r="AX100" s="285">
        <f t="shared" si="83"/>
        <v>15.076923076923077</v>
      </c>
      <c r="AY100" s="27">
        <f t="shared" si="84"/>
        <v>4.4110848217180827</v>
      </c>
      <c r="AZ100" s="27"/>
      <c r="BA100" s="258"/>
      <c r="BB100" s="408"/>
      <c r="BC100" s="408"/>
      <c r="BD100" s="408"/>
      <c r="BE100" s="408"/>
      <c r="BF100" s="408"/>
      <c r="BV100"/>
      <c r="BW100"/>
      <c r="BX100"/>
      <c r="BY100"/>
      <c r="BZ100"/>
      <c r="CA100"/>
      <c r="CB100"/>
      <c r="CC100"/>
      <c r="CD100"/>
      <c r="CE100"/>
      <c r="CF100"/>
      <c r="CJ100" s="100"/>
      <c r="CK100" s="100"/>
    </row>
    <row r="101" spans="8:99" x14ac:dyDescent="0.2">
      <c r="AG101" s="29"/>
      <c r="AT101" s="21"/>
      <c r="AU101" s="284">
        <v>500</v>
      </c>
      <c r="AV101" s="286">
        <f t="shared" si="85"/>
        <v>1.25</v>
      </c>
      <c r="AW101" s="285">
        <v>2.8571428571428572</v>
      </c>
      <c r="AX101" s="285">
        <f t="shared" si="83"/>
        <v>14.857142857142858</v>
      </c>
      <c r="AY101" s="27">
        <f t="shared" si="84"/>
        <v>3.8842822434289515</v>
      </c>
      <c r="AZ101" s="27"/>
      <c r="BB101" s="408"/>
      <c r="BC101" s="408"/>
      <c r="BD101" s="408"/>
      <c r="BE101" s="408"/>
      <c r="BF101" s="408"/>
    </row>
    <row r="102" spans="8:99" x14ac:dyDescent="0.2">
      <c r="AG102" s="29"/>
      <c r="AT102" s="21"/>
      <c r="AU102" s="284">
        <v>550</v>
      </c>
      <c r="AV102" s="286">
        <f t="shared" si="85"/>
        <v>1.375</v>
      </c>
      <c r="AW102" s="285">
        <v>1.8181818181818181</v>
      </c>
      <c r="AX102" s="285">
        <f t="shared" si="83"/>
        <v>13.818181818181818</v>
      </c>
      <c r="AY102" s="27">
        <f t="shared" si="84"/>
        <v>3.4077313444073272</v>
      </c>
      <c r="AZ102" s="27"/>
      <c r="BB102" s="408"/>
      <c r="BC102" s="408"/>
      <c r="BD102" s="408"/>
      <c r="BE102" s="408"/>
      <c r="BF102" s="408"/>
      <c r="CO102" s="21"/>
      <c r="CP102" s="21"/>
    </row>
    <row r="103" spans="8:99" ht="12.75" customHeight="1" x14ac:dyDescent="0.2">
      <c r="AG103" s="29"/>
      <c r="AT103" s="21"/>
      <c r="AU103" s="284">
        <v>600</v>
      </c>
      <c r="AV103" s="286">
        <f t="shared" si="85"/>
        <v>1.5</v>
      </c>
      <c r="AW103" s="285">
        <v>1.6216216216216215</v>
      </c>
      <c r="AX103" s="285">
        <f t="shared" si="83"/>
        <v>13.621621621621621</v>
      </c>
      <c r="AY103" s="27">
        <f t="shared" si="84"/>
        <v>2.9726744594591779</v>
      </c>
      <c r="AZ103" s="27"/>
      <c r="BB103" s="60"/>
      <c r="BC103" s="60"/>
      <c r="BD103" s="60"/>
      <c r="BE103" s="60"/>
      <c r="BF103" s="60"/>
      <c r="BG103" s="60"/>
      <c r="BH103" s="60"/>
      <c r="BI103" s="60"/>
      <c r="BJ103" s="60"/>
      <c r="BK103" s="60"/>
      <c r="BL103" s="60"/>
      <c r="BM103" s="60"/>
      <c r="BN103" s="60"/>
      <c r="BO103" s="60"/>
      <c r="BP103" s="60"/>
      <c r="BQ103" s="60"/>
    </row>
    <row r="104" spans="8:99" x14ac:dyDescent="0.2">
      <c r="AG104" s="29"/>
      <c r="AT104" s="21">
        <v>1.4</v>
      </c>
      <c r="AU104" s="52">
        <v>800</v>
      </c>
      <c r="AV104" s="287">
        <f t="shared" si="85"/>
        <v>2</v>
      </c>
      <c r="AW104" s="52">
        <v>1.4</v>
      </c>
      <c r="AX104" s="74">
        <f t="shared" si="83"/>
        <v>13.4</v>
      </c>
      <c r="AY104" s="27">
        <f t="shared" si="84"/>
        <v>1.5342640972002735</v>
      </c>
      <c r="AZ104" s="27"/>
      <c r="BB104" s="60"/>
      <c r="BC104" s="60"/>
      <c r="BD104" s="60"/>
      <c r="BE104" s="60"/>
      <c r="BF104" s="60"/>
      <c r="BG104" s="60"/>
      <c r="BH104" s="60"/>
      <c r="BI104" s="60"/>
      <c r="BJ104" s="60"/>
      <c r="BK104" s="60"/>
      <c r="BL104" s="60"/>
      <c r="BM104" s="60"/>
      <c r="BN104" s="60"/>
      <c r="BO104" s="60"/>
      <c r="BP104" s="60"/>
      <c r="BQ104" s="60"/>
      <c r="CO104" s="12"/>
      <c r="CP104" s="12"/>
      <c r="CQ104" s="12"/>
      <c r="CR104" s="12"/>
      <c r="CS104" s="12"/>
      <c r="CT104" s="12"/>
    </row>
    <row r="105" spans="8:99" x14ac:dyDescent="0.2">
      <c r="AG105" s="29"/>
      <c r="AT105" s="21">
        <v>1</v>
      </c>
      <c r="AU105" s="52">
        <v>1000</v>
      </c>
      <c r="AV105" s="287">
        <f t="shared" si="85"/>
        <v>2.5</v>
      </c>
      <c r="AW105" s="52">
        <v>1</v>
      </c>
      <c r="AX105" s="74">
        <f t="shared" si="83"/>
        <v>13</v>
      </c>
      <c r="AY105" s="27">
        <f t="shared" si="84"/>
        <v>0.41854634062922447</v>
      </c>
      <c r="AZ105" s="27"/>
      <c r="BB105" s="60"/>
      <c r="BC105" s="60"/>
      <c r="BD105" s="60"/>
      <c r="BE105" s="60"/>
      <c r="BF105" s="60"/>
      <c r="BG105" s="60"/>
      <c r="BH105" s="60"/>
      <c r="BI105" s="60"/>
      <c r="BJ105" s="60"/>
      <c r="BK105" s="60"/>
      <c r="BL105" s="60"/>
      <c r="BM105" s="60"/>
      <c r="BN105" s="60"/>
      <c r="BO105" s="60"/>
      <c r="BP105" s="60"/>
      <c r="BQ105" s="60"/>
      <c r="CQ105" s="258"/>
      <c r="CR105" s="258"/>
      <c r="CS105" s="258"/>
      <c r="CT105" s="258"/>
    </row>
    <row r="106" spans="8:99" x14ac:dyDescent="0.2">
      <c r="AG106" s="29"/>
      <c r="AT106" s="21">
        <v>0.5</v>
      </c>
      <c r="AU106" s="52">
        <v>1200</v>
      </c>
      <c r="AV106" s="287">
        <f t="shared" si="85"/>
        <v>3</v>
      </c>
      <c r="AW106" s="52">
        <v>0.5</v>
      </c>
      <c r="AX106" s="74">
        <f t="shared" si="83"/>
        <v>12.5</v>
      </c>
      <c r="AY106" s="27">
        <f t="shared" si="84"/>
        <v>-0.49306144334054913</v>
      </c>
      <c r="AZ106" s="27"/>
      <c r="CU106" s="29"/>
    </row>
    <row r="107" spans="8:99" x14ac:dyDescent="0.2">
      <c r="AG107" s="29"/>
      <c r="AT107" s="21"/>
      <c r="AW107" s="101"/>
      <c r="AX107" s="27"/>
      <c r="AY107" s="108"/>
      <c r="AZ107" s="108"/>
      <c r="BA107" s="109"/>
      <c r="CU107" s="29"/>
    </row>
    <row r="108" spans="8:99" x14ac:dyDescent="0.2">
      <c r="AG108" s="29"/>
      <c r="AT108" s="58"/>
      <c r="AW108" s="101"/>
      <c r="AX108" s="27"/>
      <c r="AY108" s="108"/>
      <c r="AZ108" s="108"/>
      <c r="BA108" s="109"/>
      <c r="CU108" s="29"/>
    </row>
    <row r="109" spans="8:99" x14ac:dyDescent="0.2">
      <c r="AG109" s="29"/>
      <c r="AT109" s="58"/>
      <c r="AW109" s="101"/>
      <c r="AX109" s="27"/>
      <c r="AY109" s="108"/>
      <c r="AZ109" s="108"/>
      <c r="BA109" s="109"/>
      <c r="CU109" s="29"/>
    </row>
    <row r="110" spans="8:99" x14ac:dyDescent="0.2">
      <c r="AG110" s="29"/>
      <c r="AT110" s="58"/>
      <c r="AW110" s="101"/>
      <c r="AX110" s="27"/>
      <c r="AY110" s="108"/>
      <c r="AZ110" s="108"/>
      <c r="BA110" s="109"/>
    </row>
    <row r="111" spans="8:99" x14ac:dyDescent="0.2">
      <c r="AG111" s="29"/>
      <c r="AT111" s="58"/>
      <c r="AW111" s="101"/>
      <c r="AX111" s="27"/>
      <c r="AY111" s="108"/>
      <c r="AZ111" s="108"/>
      <c r="BA111" s="109"/>
    </row>
    <row r="112" spans="8:99" x14ac:dyDescent="0.2">
      <c r="AG112" s="29"/>
      <c r="AT112" s="58"/>
      <c r="AW112" s="101"/>
      <c r="AX112" s="27"/>
      <c r="AY112" s="108"/>
      <c r="AZ112" s="108"/>
      <c r="BA112" s="109"/>
    </row>
    <row r="113" spans="33:89" x14ac:dyDescent="0.2">
      <c r="AG113" s="29"/>
      <c r="AT113" s="58"/>
      <c r="AW113" s="101"/>
      <c r="AX113" s="27"/>
      <c r="AY113" s="108"/>
      <c r="AZ113" s="108"/>
      <c r="BA113" s="109"/>
    </row>
    <row r="114" spans="33:89" x14ac:dyDescent="0.2">
      <c r="AT114" s="58"/>
      <c r="AW114" s="101"/>
      <c r="AX114" s="27"/>
      <c r="AY114" s="108"/>
      <c r="AZ114" s="108"/>
      <c r="BA114" s="109"/>
      <c r="CJ114" s="17"/>
      <c r="CK114" s="17"/>
    </row>
    <row r="115" spans="33:89" x14ac:dyDescent="0.2">
      <c r="AT115" s="58"/>
      <c r="AW115" s="101"/>
      <c r="AX115" s="27"/>
      <c r="AY115" s="108"/>
      <c r="AZ115" s="108"/>
      <c r="BA115" s="109"/>
      <c r="CJ115" s="17"/>
      <c r="CK115" s="17"/>
    </row>
    <row r="116" spans="33:89" x14ac:dyDescent="0.2">
      <c r="AG116" s="29"/>
      <c r="AT116" s="58"/>
      <c r="AW116" s="101"/>
      <c r="AX116" s="27"/>
      <c r="AY116" s="108"/>
      <c r="AZ116" s="108"/>
      <c r="BA116" s="109"/>
      <c r="CJ116" s="17"/>
      <c r="CK116" s="17"/>
    </row>
    <row r="117" spans="33:89" x14ac:dyDescent="0.2">
      <c r="AG117" s="29"/>
      <c r="AT117" s="58"/>
      <c r="CJ117" s="17"/>
      <c r="CK117" s="17"/>
    </row>
    <row r="118" spans="33:89" x14ac:dyDescent="0.2">
      <c r="AG118" s="29"/>
      <c r="AT118" s="58"/>
      <c r="CJ118" s="17"/>
      <c r="CK118" s="17"/>
    </row>
    <row r="119" spans="33:89" x14ac:dyDescent="0.2">
      <c r="CJ119" s="17"/>
      <c r="CK119" s="17"/>
    </row>
    <row r="120" spans="33:89" x14ac:dyDescent="0.2">
      <c r="CJ120" s="17"/>
      <c r="CK120" s="17"/>
    </row>
    <row r="121" spans="33:89" x14ac:dyDescent="0.2">
      <c r="BV121" s="258"/>
      <c r="CJ121" s="17"/>
      <c r="CK121" s="17"/>
    </row>
    <row r="122" spans="33:89" x14ac:dyDescent="0.2">
      <c r="BV122" s="258"/>
      <c r="CJ122" s="17"/>
      <c r="CK122" s="17"/>
    </row>
    <row r="123" spans="33:89" x14ac:dyDescent="0.2">
      <c r="BV123" s="258"/>
      <c r="CJ123" s="17"/>
      <c r="CK123" s="17"/>
    </row>
    <row r="124" spans="33:89" x14ac:dyDescent="0.2">
      <c r="BV124" s="258"/>
      <c r="CJ124" s="17"/>
      <c r="CK124" s="17"/>
    </row>
    <row r="125" spans="33:89" x14ac:dyDescent="0.2">
      <c r="BV125" s="258"/>
      <c r="CJ125" s="17"/>
      <c r="CK125" s="17"/>
    </row>
    <row r="126" spans="33:89" x14ac:dyDescent="0.2">
      <c r="AQ126" s="54"/>
      <c r="AT126"/>
      <c r="BV126" s="258"/>
      <c r="CJ126" s="17"/>
      <c r="CK126" s="17"/>
    </row>
    <row r="127" spans="33:89" x14ac:dyDescent="0.2">
      <c r="AN127" s="20"/>
      <c r="AO127" s="20"/>
      <c r="AP127" s="20"/>
      <c r="AQ127" s="20"/>
      <c r="AT127"/>
      <c r="BV127" s="258"/>
      <c r="CJ127" s="17"/>
      <c r="CK127" s="17"/>
    </row>
    <row r="128" spans="33:89" x14ac:dyDescent="0.2">
      <c r="AQ128" s="30"/>
      <c r="AT128"/>
      <c r="BV128" s="258"/>
      <c r="CJ128" s="17"/>
      <c r="CK128" s="17"/>
    </row>
    <row r="129" spans="43:89" x14ac:dyDescent="0.2">
      <c r="AQ129" s="30"/>
      <c r="AT129"/>
      <c r="BV129" s="258"/>
      <c r="CJ129" s="17"/>
      <c r="CK129" s="17"/>
    </row>
    <row r="130" spans="43:89" x14ac:dyDescent="0.2">
      <c r="AQ130" s="30"/>
      <c r="AT130"/>
      <c r="BV130" s="258"/>
      <c r="CJ130" s="17"/>
      <c r="CK130" s="17"/>
    </row>
    <row r="131" spans="43:89" x14ac:dyDescent="0.2">
      <c r="AQ131" s="30"/>
      <c r="AT131"/>
      <c r="BV131" s="258"/>
      <c r="CJ131" s="17"/>
      <c r="CK131" s="17"/>
    </row>
    <row r="132" spans="43:89" x14ac:dyDescent="0.2">
      <c r="AQ132" s="30"/>
      <c r="AT132"/>
      <c r="BV132" s="258"/>
      <c r="CJ132" s="17"/>
      <c r="CK132" s="17"/>
    </row>
    <row r="133" spans="43:89" x14ac:dyDescent="0.2">
      <c r="AQ133" s="30"/>
      <c r="AT133"/>
      <c r="BV133" s="258"/>
      <c r="CJ133" s="17"/>
      <c r="CK133" s="17"/>
    </row>
    <row r="134" spans="43:89" x14ac:dyDescent="0.2">
      <c r="AQ134" s="30"/>
      <c r="AT134"/>
      <c r="BV134" s="258"/>
      <c r="CJ134" s="17"/>
      <c r="CK134" s="17"/>
    </row>
    <row r="135" spans="43:89" x14ac:dyDescent="0.2">
      <c r="AQ135" s="30"/>
      <c r="AT135"/>
      <c r="BV135" s="258"/>
      <c r="CJ135" s="17"/>
      <c r="CK135" s="17"/>
    </row>
    <row r="136" spans="43:89" x14ac:dyDescent="0.2">
      <c r="AQ136" s="30"/>
      <c r="AT136"/>
      <c r="BV136" s="258"/>
      <c r="CJ136" s="17"/>
      <c r="CK136" s="17"/>
    </row>
    <row r="137" spans="43:89" x14ac:dyDescent="0.2">
      <c r="AQ137" s="30"/>
      <c r="AT137"/>
      <c r="BV137" s="258"/>
      <c r="CJ137" s="17"/>
      <c r="CK137" s="17"/>
    </row>
    <row r="138" spans="43:89" x14ac:dyDescent="0.2">
      <c r="AQ138" s="30"/>
      <c r="AT138"/>
    </row>
    <row r="139" spans="43:89" x14ac:dyDescent="0.2">
      <c r="AQ139" s="30"/>
      <c r="AT139"/>
    </row>
    <row r="140" spans="43:89" x14ac:dyDescent="0.2">
      <c r="AR140"/>
      <c r="AS140"/>
      <c r="AT140"/>
    </row>
    <row r="141" spans="43:89" x14ac:dyDescent="0.2">
      <c r="AR141"/>
      <c r="AS141"/>
      <c r="AT141"/>
    </row>
    <row r="142" spans="43:89" x14ac:dyDescent="0.2">
      <c r="AR142"/>
      <c r="AS142"/>
      <c r="AT142"/>
    </row>
    <row r="143" spans="43:89" x14ac:dyDescent="0.2">
      <c r="AR143"/>
      <c r="AS143"/>
      <c r="AT143"/>
    </row>
    <row r="144" spans="43:89" x14ac:dyDescent="0.2">
      <c r="AR144"/>
      <c r="AS144"/>
      <c r="AT144"/>
    </row>
    <row r="145" spans="23:109" x14ac:dyDescent="0.2">
      <c r="AR145"/>
      <c r="AS145"/>
      <c r="AT145"/>
    </row>
    <row r="146" spans="23:109" s="258" customFormat="1" x14ac:dyDescent="0.2">
      <c r="W146" s="395"/>
      <c r="AQ146"/>
      <c r="AR146"/>
      <c r="AS146"/>
      <c r="BG146"/>
      <c r="BH146"/>
      <c r="BI146"/>
      <c r="BJ146"/>
      <c r="BK146"/>
      <c r="BL146"/>
      <c r="BM146"/>
      <c r="BN146"/>
      <c r="BO146"/>
      <c r="BP146"/>
      <c r="BQ146"/>
      <c r="BR146"/>
      <c r="BS146"/>
      <c r="BT146"/>
      <c r="BU146"/>
      <c r="BV146"/>
      <c r="BW146"/>
      <c r="BX146"/>
      <c r="BY146"/>
      <c r="BZ146"/>
      <c r="CA146"/>
      <c r="CB146"/>
      <c r="CC146"/>
      <c r="CD146"/>
      <c r="CE146"/>
      <c r="CF146"/>
      <c r="CG146"/>
      <c r="CH146"/>
      <c r="CI146"/>
      <c r="CJ146" s="18"/>
      <c r="CK146" s="18"/>
      <c r="CL146"/>
      <c r="CM146"/>
      <c r="CN146"/>
      <c r="CO146"/>
      <c r="CP146"/>
      <c r="CQ146"/>
      <c r="CR146"/>
      <c r="CS146"/>
      <c r="CT146"/>
      <c r="CU146"/>
      <c r="CV146"/>
      <c r="CW146"/>
      <c r="CX146"/>
      <c r="CY146"/>
      <c r="CZ146"/>
      <c r="DA146"/>
      <c r="DB146"/>
      <c r="DC146"/>
      <c r="DD146"/>
      <c r="DE146"/>
    </row>
    <row r="147" spans="23:109" s="258" customFormat="1" x14ac:dyDescent="0.2">
      <c r="W147" s="395"/>
      <c r="AJ147"/>
      <c r="AK147"/>
      <c r="AL147"/>
      <c r="AM147"/>
      <c r="AN147"/>
      <c r="AO147"/>
      <c r="AP147"/>
      <c r="AQ147"/>
      <c r="AT147" s="58"/>
      <c r="AU147"/>
      <c r="AV147"/>
      <c r="AW147" s="30"/>
      <c r="AX147" s="29"/>
      <c r="AY147"/>
      <c r="AZ147"/>
      <c r="BG147"/>
      <c r="BH147"/>
      <c r="BI147"/>
      <c r="BJ147"/>
      <c r="BK147"/>
      <c r="BL147"/>
      <c r="BM147"/>
      <c r="BN147"/>
      <c r="BO147"/>
      <c r="BP147"/>
      <c r="BQ147"/>
      <c r="BR147"/>
      <c r="BS147"/>
      <c r="BT147"/>
      <c r="BU147"/>
      <c r="BV147"/>
      <c r="BW147"/>
      <c r="BX147"/>
      <c r="BY147"/>
      <c r="BZ147"/>
      <c r="CA147"/>
      <c r="CB147"/>
      <c r="CC147"/>
      <c r="CD147"/>
      <c r="CE147"/>
      <c r="CF147"/>
      <c r="CG147"/>
      <c r="CH147"/>
      <c r="CI147"/>
      <c r="CJ147" s="18"/>
      <c r="CK147" s="18"/>
      <c r="CL147"/>
      <c r="CM147"/>
      <c r="CN147"/>
      <c r="CO147"/>
      <c r="CP147"/>
      <c r="CQ147"/>
      <c r="CR147"/>
      <c r="CS147"/>
      <c r="CT147"/>
      <c r="CU147"/>
      <c r="CV147"/>
      <c r="CW147"/>
      <c r="CX147"/>
      <c r="CY147"/>
      <c r="CZ147"/>
      <c r="DA147"/>
      <c r="DB147"/>
      <c r="DC147"/>
      <c r="DD147"/>
      <c r="DE147"/>
    </row>
    <row r="148" spans="23:109" s="258" customFormat="1" x14ac:dyDescent="0.2">
      <c r="W148" s="395"/>
      <c r="AJ148"/>
      <c r="AK148"/>
      <c r="AL148"/>
      <c r="AM148"/>
      <c r="AN148"/>
      <c r="AO148"/>
      <c r="AP148"/>
      <c r="AQ148"/>
      <c r="AT148" s="58"/>
      <c r="AU148"/>
      <c r="AV148"/>
      <c r="AW148" s="30"/>
      <c r="AX148" s="29"/>
      <c r="AY148"/>
      <c r="AZ148"/>
      <c r="BG148"/>
      <c r="BH148"/>
      <c r="BI148"/>
      <c r="BJ148"/>
      <c r="BK148"/>
      <c r="BL148"/>
      <c r="BM148"/>
      <c r="BN148"/>
      <c r="BO148"/>
      <c r="BP148"/>
      <c r="BQ148"/>
      <c r="BR148"/>
      <c r="BS148"/>
      <c r="BT148"/>
      <c r="BU148"/>
      <c r="BV148"/>
      <c r="BW148"/>
      <c r="BX148"/>
      <c r="BY148"/>
      <c r="BZ148"/>
      <c r="CA148"/>
      <c r="CB148"/>
      <c r="CC148"/>
      <c r="CD148"/>
      <c r="CE148"/>
      <c r="CF148"/>
      <c r="CG148"/>
      <c r="CH148"/>
      <c r="CI148"/>
      <c r="CJ148" s="18"/>
      <c r="CK148" s="18"/>
      <c r="CL148"/>
      <c r="CM148"/>
      <c r="CN148"/>
      <c r="CO148"/>
      <c r="CP148"/>
      <c r="CQ148"/>
      <c r="CR148"/>
      <c r="CS148"/>
      <c r="CT148"/>
      <c r="CU148"/>
      <c r="CV148"/>
      <c r="CW148"/>
      <c r="CX148"/>
      <c r="CY148"/>
      <c r="CZ148"/>
      <c r="DA148"/>
      <c r="DB148"/>
      <c r="DC148"/>
      <c r="DD148"/>
      <c r="DE148"/>
    </row>
    <row r="149" spans="23:109" s="258" customFormat="1" x14ac:dyDescent="0.2">
      <c r="W149" s="395"/>
      <c r="AJ149"/>
      <c r="AK149"/>
      <c r="AL149"/>
      <c r="AM149"/>
      <c r="AN149"/>
      <c r="AO149"/>
      <c r="AP149"/>
      <c r="AQ149"/>
      <c r="AT149" s="58"/>
      <c r="AU149"/>
      <c r="AV149"/>
      <c r="AW149" s="30"/>
      <c r="AX149" s="29"/>
      <c r="AY149"/>
      <c r="AZ149"/>
      <c r="BG149"/>
      <c r="BH149"/>
      <c r="BI149"/>
      <c r="BJ149"/>
      <c r="BK149"/>
      <c r="BL149"/>
      <c r="BM149"/>
      <c r="BN149"/>
      <c r="BO149"/>
      <c r="BP149"/>
      <c r="BQ149"/>
      <c r="BR149"/>
      <c r="BS149"/>
      <c r="BT149"/>
      <c r="BU149"/>
      <c r="BV149"/>
      <c r="BW149"/>
      <c r="BX149"/>
      <c r="BY149"/>
      <c r="BZ149"/>
      <c r="CA149"/>
      <c r="CB149"/>
      <c r="CC149"/>
      <c r="CD149"/>
      <c r="CE149"/>
      <c r="CF149"/>
      <c r="CG149"/>
      <c r="CH149"/>
      <c r="CI149"/>
      <c r="CJ149" s="18"/>
      <c r="CK149" s="18"/>
      <c r="CL149"/>
      <c r="CM149"/>
      <c r="CN149"/>
      <c r="CO149"/>
      <c r="CP149"/>
      <c r="CQ149"/>
      <c r="CR149"/>
      <c r="CS149"/>
      <c r="CT149"/>
      <c r="CU149"/>
      <c r="CV149"/>
      <c r="CW149"/>
      <c r="CX149"/>
      <c r="CY149"/>
      <c r="CZ149"/>
      <c r="DA149"/>
      <c r="DB149"/>
      <c r="DC149"/>
      <c r="DD149"/>
      <c r="DE149"/>
    </row>
    <row r="150" spans="23:109" s="258" customFormat="1" x14ac:dyDescent="0.2">
      <c r="W150" s="395"/>
      <c r="AJ150"/>
      <c r="AK150"/>
      <c r="AL150"/>
      <c r="AM150"/>
      <c r="AN150"/>
      <c r="AO150"/>
      <c r="AP150"/>
      <c r="AQ150"/>
      <c r="AT150" s="58"/>
      <c r="AU150"/>
      <c r="AV150"/>
      <c r="AW150" s="30"/>
      <c r="AX150" s="29"/>
      <c r="AY150"/>
      <c r="AZ150"/>
      <c r="BG150"/>
      <c r="BH150"/>
      <c r="BI150"/>
      <c r="BJ150"/>
      <c r="BK150"/>
      <c r="BL150"/>
      <c r="BM150"/>
      <c r="BN150"/>
      <c r="BO150"/>
      <c r="BP150"/>
      <c r="BQ150"/>
      <c r="BR150"/>
      <c r="BS150"/>
      <c r="BT150"/>
      <c r="BU150"/>
      <c r="BV150"/>
      <c r="BW150"/>
      <c r="BX150"/>
      <c r="BY150"/>
      <c r="BZ150"/>
      <c r="CA150"/>
      <c r="CB150"/>
      <c r="CC150"/>
      <c r="CD150"/>
      <c r="CE150"/>
      <c r="CF150"/>
      <c r="CG150"/>
      <c r="CH150"/>
      <c r="CI150"/>
      <c r="CJ150" s="18"/>
      <c r="CK150" s="18"/>
      <c r="CL150"/>
      <c r="CM150"/>
      <c r="CN150"/>
      <c r="CO150"/>
      <c r="CP150"/>
      <c r="CQ150"/>
      <c r="CR150"/>
      <c r="CS150"/>
      <c r="CT150"/>
      <c r="CU150"/>
      <c r="CV150"/>
      <c r="CW150"/>
      <c r="CX150"/>
      <c r="CY150"/>
      <c r="CZ150"/>
      <c r="DA150"/>
      <c r="DB150"/>
      <c r="DC150"/>
      <c r="DD150"/>
      <c r="DE150"/>
    </row>
    <row r="151" spans="23:109" s="258" customFormat="1" x14ac:dyDescent="0.2">
      <c r="W151" s="395"/>
      <c r="AJ151"/>
      <c r="AK151"/>
      <c r="AL151"/>
      <c r="AM151"/>
      <c r="AN151"/>
      <c r="AO151"/>
      <c r="AP151"/>
      <c r="AQ151"/>
      <c r="AT151" s="58"/>
      <c r="AU151"/>
      <c r="AV151"/>
      <c r="AW151" s="30"/>
      <c r="AX151" s="29"/>
      <c r="AY151"/>
      <c r="AZ151"/>
      <c r="BG151"/>
      <c r="BH151"/>
      <c r="BI151"/>
      <c r="BJ151"/>
      <c r="BK151"/>
      <c r="BL151"/>
      <c r="BM151"/>
      <c r="BN151"/>
      <c r="BO151"/>
      <c r="BP151"/>
      <c r="BQ151"/>
      <c r="BR151"/>
      <c r="BS151"/>
      <c r="BT151"/>
      <c r="BU151"/>
      <c r="BV151"/>
      <c r="BW151"/>
      <c r="BX151"/>
      <c r="BY151"/>
      <c r="BZ151"/>
      <c r="CA151"/>
      <c r="CB151"/>
      <c r="CC151"/>
      <c r="CD151"/>
      <c r="CE151"/>
      <c r="CF151"/>
      <c r="CG151"/>
      <c r="CH151"/>
      <c r="CI151"/>
      <c r="CJ151" s="18"/>
      <c r="CK151" s="18"/>
      <c r="CL151"/>
      <c r="CM151"/>
      <c r="CN151"/>
      <c r="CO151"/>
      <c r="CP151"/>
      <c r="CQ151"/>
      <c r="CR151"/>
      <c r="CS151"/>
      <c r="CT151"/>
      <c r="CU151"/>
      <c r="CV151"/>
      <c r="CW151"/>
      <c r="CX151"/>
      <c r="CY151"/>
      <c r="CZ151"/>
      <c r="DA151"/>
      <c r="DB151"/>
      <c r="DC151"/>
      <c r="DD151"/>
      <c r="DE151"/>
    </row>
    <row r="152" spans="23:109" s="258" customFormat="1" x14ac:dyDescent="0.2">
      <c r="W152" s="395"/>
      <c r="AJ152"/>
      <c r="AK152"/>
      <c r="AL152"/>
      <c r="AM152"/>
      <c r="AN152"/>
      <c r="AO152"/>
      <c r="AP152"/>
      <c r="AQ152"/>
      <c r="AT152"/>
      <c r="AU152"/>
      <c r="AV152"/>
      <c r="AW152"/>
      <c r="AX152"/>
      <c r="AY152"/>
      <c r="AZ152"/>
      <c r="BG152"/>
      <c r="BH152"/>
      <c r="BI152"/>
      <c r="BJ152"/>
      <c r="BK152"/>
      <c r="BL152"/>
      <c r="BM152"/>
      <c r="BN152"/>
      <c r="BO152"/>
      <c r="BP152"/>
      <c r="BQ152"/>
      <c r="BR152"/>
      <c r="BS152"/>
      <c r="BT152"/>
      <c r="BU152"/>
      <c r="BV152"/>
      <c r="BW152"/>
      <c r="BX152"/>
      <c r="BY152"/>
      <c r="BZ152"/>
      <c r="CA152"/>
      <c r="CB152"/>
      <c r="CC152"/>
      <c r="CD152"/>
      <c r="CE152"/>
      <c r="CF152"/>
      <c r="CG152"/>
      <c r="CH152"/>
      <c r="CI152"/>
      <c r="CJ152" s="18"/>
      <c r="CK152" s="18"/>
      <c r="CL152"/>
      <c r="CM152"/>
      <c r="CN152"/>
      <c r="CO152"/>
      <c r="CP152"/>
      <c r="CQ152"/>
      <c r="CR152"/>
      <c r="CS152"/>
      <c r="CT152"/>
      <c r="CU152"/>
      <c r="CV152"/>
      <c r="CW152"/>
      <c r="CX152"/>
      <c r="CY152"/>
      <c r="CZ152"/>
      <c r="DA152"/>
      <c r="DB152"/>
      <c r="DC152"/>
      <c r="DD152"/>
      <c r="DE152"/>
    </row>
    <row r="153" spans="23:109" x14ac:dyDescent="0.2">
      <c r="AT153"/>
      <c r="AU153"/>
      <c r="AV153"/>
      <c r="AW153"/>
      <c r="AX153"/>
      <c r="AY153"/>
      <c r="AZ153"/>
    </row>
    <row r="154" spans="23:109" x14ac:dyDescent="0.2">
      <c r="AU154"/>
      <c r="AV154"/>
      <c r="AW154" s="30"/>
      <c r="AX154" s="29"/>
      <c r="AY154"/>
      <c r="AZ154"/>
    </row>
  </sheetData>
  <sheetProtection selectLockedCells="1"/>
  <mergeCells count="64">
    <mergeCell ref="AJ1:AN1"/>
    <mergeCell ref="AO1:AX1"/>
    <mergeCell ref="BW1:BX1"/>
    <mergeCell ref="A3:A5"/>
    <mergeCell ref="AB3:AG3"/>
    <mergeCell ref="AH3:AI3"/>
    <mergeCell ref="A1:B1"/>
    <mergeCell ref="C1:S1"/>
    <mergeCell ref="X1:AB1"/>
    <mergeCell ref="CO1:CQ2"/>
    <mergeCell ref="CU1:CZ1"/>
    <mergeCell ref="DB1:DD1"/>
    <mergeCell ref="CR2:CS2"/>
    <mergeCell ref="CU2:CW2"/>
    <mergeCell ref="DH3:DI3"/>
    <mergeCell ref="AC4:AE4"/>
    <mergeCell ref="AI4:AI27"/>
    <mergeCell ref="AB5:AB6"/>
    <mergeCell ref="AC5:AG6"/>
    <mergeCell ref="AB7:AB8"/>
    <mergeCell ref="AC7:AG8"/>
    <mergeCell ref="AB9:AB10"/>
    <mergeCell ref="AC9:AG10"/>
    <mergeCell ref="AB11:AB12"/>
    <mergeCell ref="AC11:AG12"/>
    <mergeCell ref="AB13:AB14"/>
    <mergeCell ref="AC13:AG14"/>
    <mergeCell ref="AB15:AB16"/>
    <mergeCell ref="AC15:AG16"/>
    <mergeCell ref="A26:A35"/>
    <mergeCell ref="L26:N26"/>
    <mergeCell ref="C29:S30"/>
    <mergeCell ref="AB17:AB18"/>
    <mergeCell ref="AC17:AG18"/>
    <mergeCell ref="B18:S19"/>
    <mergeCell ref="AB19:AB20"/>
    <mergeCell ref="AC19:AG20"/>
    <mergeCell ref="B21:S23"/>
    <mergeCell ref="AB21:AB22"/>
    <mergeCell ref="AC21:AG22"/>
    <mergeCell ref="A6:A20"/>
    <mergeCell ref="B35:T35"/>
    <mergeCell ref="U35:AA36"/>
    <mergeCell ref="B24:Q24"/>
    <mergeCell ref="R24:S24"/>
    <mergeCell ref="B55:C55"/>
    <mergeCell ref="B25:Q25"/>
    <mergeCell ref="R25:S25"/>
    <mergeCell ref="AI29:AI30"/>
    <mergeCell ref="Z31:AA31"/>
    <mergeCell ref="AB31:AH31"/>
    <mergeCell ref="AI31:AI32"/>
    <mergeCell ref="N32:O32"/>
    <mergeCell ref="B38:C38"/>
    <mergeCell ref="U40:U41"/>
    <mergeCell ref="V40:AA42"/>
    <mergeCell ref="R41:S41"/>
    <mergeCell ref="O42:O43"/>
    <mergeCell ref="P42:T43"/>
    <mergeCell ref="AS58:AS68"/>
    <mergeCell ref="AI62:AI64"/>
    <mergeCell ref="V69:V78"/>
    <mergeCell ref="AR74:AW78"/>
    <mergeCell ref="V86:V91"/>
  </mergeCells>
  <pageMargins left="0.7" right="0.7" top="0.75" bottom="0.75" header="0.3" footer="0.3"/>
  <pageSetup scale="34" orientation="portrait" r:id="rId1"/>
  <colBreaks count="1" manualBreakCount="1">
    <brk id="35"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L19" sqref="L19"/>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Current version</vt:lpstr>
      <vt:lpstr>Colony</vt:lpstr>
      <vt:lpstr>Necessary mite reduction</vt:lpstr>
      <vt:lpstr>Notes for this version</vt:lpstr>
      <vt:lpstr>Relative rates of increase</vt:lpstr>
      <vt:lpstr>Backup version</vt:lpstr>
      <vt:lpstr>Colony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Gerard Schubert</cp:lastModifiedBy>
  <dcterms:created xsi:type="dcterms:W3CDTF">2016-09-25T17:34:02Z</dcterms:created>
  <dcterms:modified xsi:type="dcterms:W3CDTF">2018-12-16T00:51:59Z</dcterms:modified>
</cp:coreProperties>
</file>